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c\Home\Documents\1. Projects\Newbrier Company (TNC)\In Bound Inventory\"/>
    </mc:Choice>
  </mc:AlternateContent>
  <xr:revisionPtr revIDLastSave="0" documentId="8_{810FEFBB-1AD1-4697-9F29-2FDD44EF5CDF}" xr6:coauthVersionLast="47" xr6:coauthVersionMax="47" xr10:uidLastSave="{00000000-0000-0000-0000-000000000000}"/>
  <bookViews>
    <workbookView xWindow="-98" yWindow="-98" windowWidth="45315" windowHeight="24856" xr2:uid="{B35E3372-2F24-4209-A76F-853FF7B37E83}"/>
  </bookViews>
  <sheets>
    <sheet name="Forecast" sheetId="2" r:id="rId1"/>
    <sheet name="AP" sheetId="3" r:id="rId2"/>
    <sheet name="AR" sheetId="4" r:id="rId3"/>
    <sheet name="Control" sheetId="5" r:id="rId4"/>
  </sheets>
  <externalReferences>
    <externalReference r:id="rId5"/>
  </externalReferences>
  <definedNames>
    <definedName name="List">[1]vlookup!$A$1:$A$4</definedName>
    <definedName name="Pay">Control!#REF!</definedName>
    <definedName name="_xlnm.Print_Area" localSheetId="0">Forecast!$A$1:$AC$47</definedName>
    <definedName name="_xlnm.Print_Titles" localSheetId="0">Forecast!$A:$B</definedName>
    <definedName name="Tax">Control!#REF!</definedName>
    <definedName name="v_AP_Total">Control!$C$9</definedName>
    <definedName name="v_AR_Total">Control!$C$11</definedName>
    <definedName name="V_Cash_Ops">Control!#REF!</definedName>
    <definedName name="v_Cash_Start">Control!$C$7</definedName>
    <definedName name="v_Fore_Date">Control!$C$3</definedName>
    <definedName name="v_Fore_Start">Control!$C$5</definedName>
    <definedName name="v_PCR">Control!$C$13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5" l="1"/>
  <c r="C5" i="5"/>
  <c r="D5" i="5"/>
  <c r="B15" i="5"/>
  <c r="C17" i="5"/>
  <c r="D20" i="5"/>
  <c r="D21" i="5"/>
  <c r="D22" i="5"/>
  <c r="B3" i="2"/>
  <c r="D4" i="2"/>
  <c r="E4" i="2" s="1"/>
  <c r="F4" i="2" s="1"/>
  <c r="G4" i="2" s="1"/>
  <c r="H4" i="2"/>
  <c r="I4" i="2" s="1"/>
  <c r="J4" i="2" s="1"/>
  <c r="K4" i="2" s="1"/>
  <c r="L4" i="2"/>
  <c r="M4" i="2" s="1"/>
  <c r="N4" i="2" s="1"/>
  <c r="O4" i="2" s="1"/>
  <c r="P4" i="2" s="1"/>
  <c r="Q4" i="2" s="1"/>
  <c r="R4" i="2" s="1"/>
  <c r="S4" i="2" s="1"/>
  <c r="T4" i="2" s="1"/>
  <c r="U4" i="2" s="1"/>
  <c r="V4" i="2" s="1"/>
  <c r="W4" i="2" s="1"/>
  <c r="X4" i="2" s="1"/>
  <c r="Y4" i="2" s="1"/>
  <c r="Z4" i="2" s="1"/>
  <c r="AA4" i="2" s="1"/>
  <c r="AB4" i="2" s="1"/>
  <c r="C5" i="2"/>
  <c r="D5" i="2" s="1"/>
  <c r="E5" i="2" s="1"/>
  <c r="F5" i="2" s="1"/>
  <c r="G5" i="2" s="1"/>
  <c r="H5" i="2" s="1"/>
  <c r="I5" i="2" s="1"/>
  <c r="J5" i="2" s="1"/>
  <c r="K5" i="2" s="1"/>
  <c r="L5" i="2" s="1"/>
  <c r="M5" i="2" s="1"/>
  <c r="N5" i="2" s="1"/>
  <c r="O5" i="2" s="1"/>
  <c r="P5" i="2" s="1"/>
  <c r="Q5" i="2" s="1"/>
  <c r="R5" i="2" s="1"/>
  <c r="S5" i="2" s="1"/>
  <c r="T5" i="2" s="1"/>
  <c r="U5" i="2" s="1"/>
  <c r="V5" i="2" s="1"/>
  <c r="W5" i="2" s="1"/>
  <c r="X5" i="2" s="1"/>
  <c r="Y5" i="2" s="1"/>
  <c r="Z5" i="2" s="1"/>
  <c r="AA5" i="2" s="1"/>
  <c r="AB5" i="2" s="1"/>
  <c r="C7" i="2"/>
  <c r="A9" i="2"/>
  <c r="A10" i="2"/>
  <c r="A11" i="2" s="1"/>
  <c r="A12" i="2" s="1"/>
  <c r="A13" i="2" s="1"/>
  <c r="A14" i="2" s="1"/>
  <c r="A15" i="2" s="1"/>
  <c r="A16" i="2" s="1"/>
  <c r="A17" i="2" s="1"/>
  <c r="A18" i="2" s="1"/>
  <c r="A19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2" i="2" s="1"/>
  <c r="A34" i="2" s="1"/>
  <c r="A36" i="2" s="1"/>
  <c r="A37" i="2" s="1"/>
  <c r="A38" i="2" s="1"/>
  <c r="A39" i="2" s="1"/>
  <c r="A41" i="2" s="1"/>
  <c r="A42" i="2" s="1"/>
  <c r="A44" i="2" s="1"/>
  <c r="A45" i="2" s="1"/>
  <c r="A46" i="2" s="1"/>
  <c r="A47" i="2" s="1"/>
  <c r="A48" i="2" s="1"/>
  <c r="A50" i="2" s="1"/>
  <c r="AC10" i="2"/>
  <c r="AC11" i="2"/>
  <c r="AC12" i="2"/>
  <c r="AC13" i="2"/>
  <c r="AC14" i="2"/>
  <c r="AC15" i="2"/>
  <c r="AC16" i="2"/>
  <c r="AC17" i="2"/>
  <c r="AC18" i="2"/>
  <c r="B19" i="2"/>
  <c r="C19" i="2"/>
  <c r="D19" i="2"/>
  <c r="D32" i="2" s="1"/>
  <c r="E19" i="2"/>
  <c r="F19" i="2"/>
  <c r="G19" i="2"/>
  <c r="G32" i="2" s="1"/>
  <c r="H19" i="2"/>
  <c r="H32" i="2" s="1"/>
  <c r="I19" i="2"/>
  <c r="J19" i="2"/>
  <c r="K19" i="2"/>
  <c r="K32" i="2" s="1"/>
  <c r="L19" i="2"/>
  <c r="L32" i="2" s="1"/>
  <c r="M19" i="2"/>
  <c r="N19" i="2"/>
  <c r="O19" i="2"/>
  <c r="O32" i="2" s="1"/>
  <c r="P19" i="2"/>
  <c r="P32" i="2" s="1"/>
  <c r="Q19" i="2"/>
  <c r="R19" i="2"/>
  <c r="S19" i="2"/>
  <c r="S32" i="2" s="1"/>
  <c r="T19" i="2"/>
  <c r="T32" i="2" s="1"/>
  <c r="U19" i="2"/>
  <c r="V19" i="2"/>
  <c r="W19" i="2"/>
  <c r="W32" i="2" s="1"/>
  <c r="X19" i="2"/>
  <c r="X32" i="2" s="1"/>
  <c r="Y19" i="2"/>
  <c r="Z19" i="2"/>
  <c r="AA19" i="2"/>
  <c r="AA32" i="2" s="1"/>
  <c r="AB19" i="2"/>
  <c r="AB32" i="2" s="1"/>
  <c r="AC22" i="2"/>
  <c r="AC30" i="2" s="1"/>
  <c r="AC23" i="2"/>
  <c r="AC24" i="2"/>
  <c r="AC25" i="2"/>
  <c r="AC26" i="2"/>
  <c r="AC27" i="2"/>
  <c r="AC28" i="2"/>
  <c r="AC29" i="2"/>
  <c r="B30" i="2"/>
  <c r="C30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E32" i="2"/>
  <c r="F32" i="2"/>
  <c r="I32" i="2"/>
  <c r="J32" i="2"/>
  <c r="M32" i="2"/>
  <c r="N32" i="2"/>
  <c r="Q32" i="2"/>
  <c r="R32" i="2"/>
  <c r="U32" i="2"/>
  <c r="V32" i="2"/>
  <c r="Y32" i="2"/>
  <c r="Z32" i="2"/>
  <c r="C37" i="2"/>
  <c r="C38" i="2"/>
  <c r="C39" i="2" s="1"/>
  <c r="C44" i="2"/>
  <c r="C47" i="2" s="1"/>
  <c r="D44" i="2" s="1"/>
  <c r="D47" i="2" s="1"/>
  <c r="AC45" i="2"/>
  <c r="C46" i="2"/>
  <c r="D46" i="2"/>
  <c r="E46" i="2"/>
  <c r="F46" i="2"/>
  <c r="AC46" i="2" s="1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Z46" i="2"/>
  <c r="AA46" i="2"/>
  <c r="AB46" i="2"/>
  <c r="C48" i="2"/>
  <c r="D50" i="2"/>
  <c r="C50" i="2" l="1"/>
  <c r="AC32" i="2"/>
  <c r="C32" i="2"/>
  <c r="C16" i="5"/>
  <c r="D48" i="2"/>
  <c r="E44" i="2"/>
  <c r="E47" i="2" s="1"/>
  <c r="AC19" i="2"/>
  <c r="AC7" i="2"/>
  <c r="AC34" i="2" s="1"/>
  <c r="C34" i="2"/>
  <c r="C15" i="5" l="1"/>
  <c r="D7" i="2"/>
  <c r="D34" i="2" s="1"/>
  <c r="E7" i="2" s="1"/>
  <c r="E34" i="2" s="1"/>
  <c r="F7" i="2" s="1"/>
  <c r="F34" i="2" s="1"/>
  <c r="G7" i="2" s="1"/>
  <c r="G34" i="2" s="1"/>
  <c r="H7" i="2" s="1"/>
  <c r="H34" i="2" s="1"/>
  <c r="I7" i="2" s="1"/>
  <c r="I34" i="2" s="1"/>
  <c r="J7" i="2" s="1"/>
  <c r="J34" i="2" s="1"/>
  <c r="K7" i="2" s="1"/>
  <c r="K34" i="2" s="1"/>
  <c r="L7" i="2" s="1"/>
  <c r="L34" i="2" s="1"/>
  <c r="M7" i="2" s="1"/>
  <c r="M34" i="2" s="1"/>
  <c r="N7" i="2" s="1"/>
  <c r="N34" i="2" s="1"/>
  <c r="O7" i="2" s="1"/>
  <c r="O34" i="2" s="1"/>
  <c r="P7" i="2" s="1"/>
  <c r="P34" i="2" s="1"/>
  <c r="Q7" i="2" s="1"/>
  <c r="Q34" i="2" s="1"/>
  <c r="R7" i="2" s="1"/>
  <c r="R34" i="2" s="1"/>
  <c r="S7" i="2" s="1"/>
  <c r="S34" i="2" s="1"/>
  <c r="T7" i="2" s="1"/>
  <c r="T34" i="2" s="1"/>
  <c r="U7" i="2" s="1"/>
  <c r="U34" i="2" s="1"/>
  <c r="V7" i="2" s="1"/>
  <c r="V34" i="2" s="1"/>
  <c r="W7" i="2" s="1"/>
  <c r="W34" i="2" s="1"/>
  <c r="X7" i="2" s="1"/>
  <c r="X34" i="2" s="1"/>
  <c r="Y7" i="2" s="1"/>
  <c r="Y34" i="2" s="1"/>
  <c r="Z7" i="2" s="1"/>
  <c r="Z34" i="2" s="1"/>
  <c r="AA7" i="2" s="1"/>
  <c r="AA34" i="2" s="1"/>
  <c r="AB7" i="2" s="1"/>
  <c r="AB34" i="2" s="1"/>
  <c r="E50" i="2"/>
  <c r="E48" i="2"/>
  <c r="F44" i="2"/>
  <c r="F47" i="2" s="1"/>
  <c r="C41" i="2" l="1"/>
  <c r="F50" i="2"/>
  <c r="G44" i="2"/>
  <c r="G47" i="2" s="1"/>
  <c r="F48" i="2"/>
  <c r="C42" i="2"/>
  <c r="H44" i="2" l="1"/>
  <c r="H47" i="2" s="1"/>
  <c r="G48" i="2"/>
  <c r="G50" i="2"/>
  <c r="H48" i="2" l="1"/>
  <c r="I44" i="2"/>
  <c r="I47" i="2" s="1"/>
  <c r="H50" i="2"/>
  <c r="I50" i="2" l="1"/>
  <c r="I48" i="2"/>
  <c r="J44" i="2"/>
  <c r="J47" i="2" s="1"/>
  <c r="J50" i="2" l="1"/>
  <c r="K44" i="2"/>
  <c r="K47" i="2" s="1"/>
  <c r="J48" i="2"/>
  <c r="L44" i="2" l="1"/>
  <c r="L47" i="2" s="1"/>
  <c r="K48" i="2"/>
  <c r="K50" i="2"/>
  <c r="L48" i="2" l="1"/>
  <c r="M44" i="2"/>
  <c r="M47" i="2" s="1"/>
  <c r="L50" i="2"/>
  <c r="M50" i="2" l="1"/>
  <c r="M48" i="2"/>
  <c r="N44" i="2"/>
  <c r="N47" i="2" s="1"/>
  <c r="N50" i="2" l="1"/>
  <c r="N48" i="2"/>
  <c r="O44" i="2"/>
  <c r="O47" i="2" s="1"/>
  <c r="P44" i="2" l="1"/>
  <c r="P47" i="2" s="1"/>
  <c r="O48" i="2"/>
  <c r="O50" i="2"/>
  <c r="P48" i="2" l="1"/>
  <c r="Q44" i="2"/>
  <c r="Q47" i="2" s="1"/>
  <c r="P50" i="2"/>
  <c r="Q50" i="2" l="1"/>
  <c r="Q48" i="2"/>
  <c r="R44" i="2"/>
  <c r="R47" i="2" s="1"/>
  <c r="R50" i="2" l="1"/>
  <c r="S44" i="2"/>
  <c r="S47" i="2" s="1"/>
  <c r="R48" i="2"/>
  <c r="T44" i="2" l="1"/>
  <c r="T47" i="2" s="1"/>
  <c r="S48" i="2"/>
  <c r="S50" i="2"/>
  <c r="T48" i="2" l="1"/>
  <c r="U44" i="2"/>
  <c r="U47" i="2" s="1"/>
  <c r="T50" i="2"/>
  <c r="U50" i="2" l="1"/>
  <c r="U48" i="2"/>
  <c r="V44" i="2"/>
  <c r="V47" i="2" s="1"/>
  <c r="V50" i="2" l="1"/>
  <c r="V48" i="2"/>
  <c r="W44" i="2"/>
  <c r="W47" i="2" s="1"/>
  <c r="X44" i="2" l="1"/>
  <c r="X47" i="2" s="1"/>
  <c r="W50" i="2"/>
  <c r="W48" i="2"/>
  <c r="X48" i="2" l="1"/>
  <c r="Y44" i="2"/>
  <c r="Y47" i="2" s="1"/>
  <c r="X50" i="2"/>
  <c r="Y50" i="2" l="1"/>
  <c r="Y48" i="2"/>
  <c r="Z44" i="2"/>
  <c r="Z47" i="2" s="1"/>
  <c r="Z50" i="2" l="1"/>
  <c r="AA44" i="2"/>
  <c r="AA47" i="2" s="1"/>
  <c r="Z48" i="2"/>
  <c r="AB44" i="2" l="1"/>
  <c r="AB47" i="2" s="1"/>
  <c r="AA48" i="2"/>
  <c r="AA50" i="2"/>
  <c r="AB48" i="2" l="1"/>
  <c r="AB5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gregory</author>
    <author>Brickner, Gregory W.</author>
  </authors>
  <commentList>
    <comment ref="B10" authorId="0" shapeId="0" xr:uid="{488580EF-0355-42E4-AC06-98A2317FA33A}">
      <text>
        <r>
          <rPr>
            <b/>
            <sz val="9"/>
            <color indexed="81"/>
            <rFont val="Tahoma"/>
            <family val="2"/>
          </rPr>
          <t>Newbrier: Run Rate cash receipts for patient AR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1" authorId="0" shapeId="0" xr:uid="{DA1C551B-45D2-4BAF-B4AE-00A47776D6EB}">
      <text>
        <r>
          <rPr>
            <b/>
            <sz val="9"/>
            <color indexed="81"/>
            <rFont val="Tahoma"/>
            <family val="2"/>
          </rPr>
          <t>Newbrier: Adjust these lines for typical cash in flows.</t>
        </r>
      </text>
    </comment>
    <comment ref="B18" authorId="1" shapeId="0" xr:uid="{230F6219-5633-4BD8-AC75-BE0BBDEDD5B0}">
      <text>
        <r>
          <rPr>
            <b/>
            <sz val="9"/>
            <color indexed="81"/>
            <rFont val="Tahoma"/>
            <family val="2"/>
          </rPr>
          <t>Newbrier:</t>
        </r>
        <r>
          <rPr>
            <sz val="9"/>
            <color indexed="81"/>
            <rFont val="Tahoma"/>
            <family val="2"/>
          </rPr>
          <t xml:space="preserve">
Cafeteria, Rent, etc - do not double count</t>
        </r>
      </text>
    </comment>
    <comment ref="B22" authorId="0" shapeId="0" xr:uid="{39344D38-FCAD-47AB-825D-F69558450E4A}">
      <text>
        <r>
          <rPr>
            <b/>
            <sz val="9"/>
            <color indexed="81"/>
            <rFont val="Tahoma"/>
            <family val="2"/>
          </rPr>
          <t>Newbrier: Enter values and items as needed.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44" authorId="0" shapeId="0" xr:uid="{2DEECAC6-3498-4049-B057-BE1DBC821D4C}">
      <text>
        <r>
          <rPr>
            <b/>
            <sz val="9"/>
            <color indexed="81"/>
            <rFont val="Tahoma"/>
            <family val="2"/>
          </rPr>
          <t>Newbrier: Based on the inputs - does it make sense?  Use the analtyics to help improve your forecast.  Add other measurements that are helpful.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<sst xmlns="http://schemas.openxmlformats.org/spreadsheetml/2006/main" count="55" uniqueCount="41">
  <si>
    <t>Implied Gross AR</t>
  </si>
  <si>
    <t>Implied Net AR Days</t>
  </si>
  <si>
    <t>Est Ending Net AR</t>
  </si>
  <si>
    <t>Collections</t>
  </si>
  <si>
    <t>New Billings</t>
  </si>
  <si>
    <t>Implied AR Balance</t>
  </si>
  <si>
    <t>26 Week Forecasted Cash Low</t>
  </si>
  <si>
    <t>26 Week Forecasted Cash High</t>
  </si>
  <si>
    <t>Variance</t>
  </si>
  <si>
    <t>Prior Week Forecast</t>
  </si>
  <si>
    <t>Beginning Cash Balance</t>
  </si>
  <si>
    <t>Analytics</t>
  </si>
  <si>
    <t>Ending Cash Balance</t>
  </si>
  <si>
    <t>Net Weekly Change in Cash</t>
  </si>
  <si>
    <t>Other Items</t>
  </si>
  <si>
    <t xml:space="preserve">AP </t>
  </si>
  <si>
    <t>Payroll</t>
  </si>
  <si>
    <t>Cash Disbursements</t>
  </si>
  <si>
    <t>Other Operating Receipts</t>
  </si>
  <si>
    <t>Patient Receipts - Run Rate</t>
  </si>
  <si>
    <t>Cash Receipts</t>
  </si>
  <si>
    <t>26 Week Total</t>
  </si>
  <si>
    <t>Week Of:</t>
  </si>
  <si>
    <t>Foothills Regional Hospital</t>
  </si>
  <si>
    <t>Cash Forecast</t>
  </si>
  <si>
    <t>[ Insert AP Aging Report Here ]</t>
  </si>
  <si>
    <t>[ Insert AR Aging Report Here ]</t>
  </si>
  <si>
    <t>Out</t>
  </si>
  <si>
    <t>In</t>
  </si>
  <si>
    <t>Prior</t>
  </si>
  <si>
    <t>in</t>
  </si>
  <si>
    <t>: Enter Percentage Collection Rate</t>
  </si>
  <si>
    <t>PCR %</t>
  </si>
  <si>
    <t>: Enter AR Balance</t>
  </si>
  <si>
    <t>Total AR</t>
  </si>
  <si>
    <t>: Enter AP Balance</t>
  </si>
  <si>
    <t>Total AP</t>
  </si>
  <si>
    <t>: Enter beginning cash balance</t>
  </si>
  <si>
    <t>Starting Cash</t>
  </si>
  <si>
    <t>Week Start</t>
  </si>
  <si>
    <t>Forecast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</si>
</sst>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mmm\ dd"/>
    <numFmt numFmtId="166" formatCode="0.0000000000"/>
    <numFmt numFmtId="167" formatCode="[$-F800]dddd\,\ mmmm\ dd\,\ yyyy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sz val="11"/>
      <color indexed="8"/>
      <name val="Helvetica Neue"/>
    </font>
    <font>
      <sz val="8"/>
      <color theme="0" tint="-0.499984740745262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2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Protection="0">
      <alignment vertical="top"/>
    </xf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164" fontId="0" fillId="2" borderId="0" xfId="1" applyNumberFormat="1" applyFont="1" applyFill="1"/>
    <xf numFmtId="3" fontId="4" fillId="2" borderId="0" xfId="0" applyNumberFormat="1" applyFont="1" applyFill="1"/>
    <xf numFmtId="0" fontId="0" fillId="2" borderId="0" xfId="0" applyFill="1" applyAlignment="1">
      <alignment horizontal="left" indent="1"/>
    </xf>
    <xf numFmtId="0" fontId="6" fillId="2" borderId="0" xfId="2" applyNumberFormat="1" applyFont="1" applyFill="1" applyBorder="1" applyAlignment="1">
      <alignment horizontal="right" wrapText="1"/>
    </xf>
    <xf numFmtId="43" fontId="0" fillId="2" borderId="0" xfId="0" applyNumberFormat="1" applyFill="1"/>
    <xf numFmtId="164" fontId="0" fillId="2" borderId="1" xfId="0" applyNumberFormat="1" applyFill="1" applyBorder="1"/>
    <xf numFmtId="164" fontId="0" fillId="0" borderId="1" xfId="0" applyNumberFormat="1" applyBorder="1"/>
    <xf numFmtId="164" fontId="0" fillId="2" borderId="0" xfId="0" applyNumberFormat="1" applyFill="1"/>
    <xf numFmtId="0" fontId="7" fillId="2" borderId="0" xfId="0" applyFont="1" applyFill="1" applyAlignment="1">
      <alignment horizontal="right" vertical="center"/>
    </xf>
    <xf numFmtId="43" fontId="0" fillId="2" borderId="0" xfId="1" applyFont="1" applyFill="1"/>
    <xf numFmtId="0" fontId="0" fillId="2" borderId="0" xfId="0" applyFill="1" applyAlignment="1">
      <alignment horizontal="left" indent="2"/>
    </xf>
    <xf numFmtId="164" fontId="7" fillId="2" borderId="0" xfId="1" applyNumberFormat="1" applyFont="1" applyFill="1" applyAlignment="1">
      <alignment horizontal="right" vertical="center"/>
    </xf>
    <xf numFmtId="0" fontId="3" fillId="2" borderId="0" xfId="0" applyFont="1" applyFill="1"/>
    <xf numFmtId="0" fontId="3" fillId="0" borderId="0" xfId="0" applyFont="1"/>
    <xf numFmtId="164" fontId="3" fillId="2" borderId="0" xfId="0" applyNumberFormat="1" applyFont="1" applyFill="1"/>
    <xf numFmtId="0" fontId="3" fillId="2" borderId="0" xfId="0" applyFont="1" applyFill="1" applyAlignment="1">
      <alignment horizontal="left"/>
    </xf>
    <xf numFmtId="164" fontId="1" fillId="2" borderId="1" xfId="1" applyNumberFormat="1" applyFont="1" applyFill="1" applyBorder="1"/>
    <xf numFmtId="0" fontId="0" fillId="2" borderId="0" xfId="0" applyFill="1" applyAlignment="1">
      <alignment horizontal="left"/>
    </xf>
    <xf numFmtId="164" fontId="8" fillId="2" borderId="0" xfId="1" applyNumberFormat="1" applyFont="1" applyFill="1"/>
    <xf numFmtId="43" fontId="0" fillId="0" borderId="0" xfId="0" applyNumberFormat="1"/>
    <xf numFmtId="164" fontId="0" fillId="0" borderId="0" xfId="1" applyNumberFormat="1" applyFont="1"/>
    <xf numFmtId="43" fontId="0" fillId="0" borderId="0" xfId="1" applyFont="1"/>
    <xf numFmtId="164" fontId="0" fillId="2" borderId="0" xfId="1" applyNumberFormat="1" applyFont="1" applyFill="1" applyBorder="1"/>
    <xf numFmtId="164" fontId="9" fillId="2" borderId="0" xfId="1" applyNumberFormat="1" applyFont="1" applyFill="1"/>
    <xf numFmtId="165" fontId="3" fillId="3" borderId="0" xfId="0" applyNumberFormat="1" applyFont="1" applyFill="1" applyAlignment="1">
      <alignment wrapText="1"/>
    </xf>
    <xf numFmtId="165" fontId="3" fillId="3" borderId="0" xfId="0" applyNumberFormat="1" applyFont="1" applyFill="1" applyAlignment="1">
      <alignment horizontal="center"/>
    </xf>
    <xf numFmtId="0" fontId="10" fillId="2" borderId="0" xfId="0" applyFont="1" applyFill="1" applyAlignment="1">
      <alignment horizontal="right"/>
    </xf>
    <xf numFmtId="0" fontId="6" fillId="2" borderId="0" xfId="2" applyNumberFormat="1" applyFont="1" applyFill="1" applyBorder="1" applyAlignment="1">
      <alignment horizontal="center" wrapText="1"/>
    </xf>
    <xf numFmtId="0" fontId="11" fillId="2" borderId="0" xfId="0" applyFont="1" applyFill="1"/>
    <xf numFmtId="0" fontId="12" fillId="2" borderId="0" xfId="2" applyNumberFormat="1" applyFont="1" applyFill="1">
      <alignment vertical="top"/>
    </xf>
    <xf numFmtId="0" fontId="13" fillId="2" borderId="0" xfId="2" applyNumberFormat="1" applyFont="1" applyFill="1">
      <alignment vertical="top"/>
    </xf>
    <xf numFmtId="0" fontId="16" fillId="0" borderId="0" xfId="0" applyFont="1"/>
    <xf numFmtId="43" fontId="8" fillId="4" borderId="0" xfId="1" applyFont="1" applyFill="1"/>
    <xf numFmtId="0" fontId="8" fillId="0" borderId="0" xfId="0" applyFont="1"/>
    <xf numFmtId="43" fontId="8" fillId="0" borderId="0" xfId="1" applyFont="1"/>
    <xf numFmtId="14" fontId="0" fillId="0" borderId="0" xfId="0" applyNumberFormat="1" applyAlignment="1">
      <alignment horizontal="left"/>
    </xf>
    <xf numFmtId="0" fontId="2" fillId="0" borderId="0" xfId="0" applyFont="1"/>
    <xf numFmtId="166" fontId="0" fillId="0" borderId="0" xfId="0" applyNumberFormat="1"/>
    <xf numFmtId="10" fontId="8" fillId="4" borderId="0" xfId="3" applyNumberFormat="1" applyFont="1" applyFill="1"/>
    <xf numFmtId="167" fontId="0" fillId="0" borderId="0" xfId="0" applyNumberFormat="1" applyAlignment="1">
      <alignment horizontal="left" indent="2"/>
    </xf>
    <xf numFmtId="14" fontId="8" fillId="0" borderId="0" xfId="0" applyNumberFormat="1" applyFont="1"/>
    <xf numFmtId="0" fontId="0" fillId="0" borderId="0" xfId="0" applyAlignment="1">
      <alignment horizontal="left" indent="2"/>
    </xf>
    <xf numFmtId="14" fontId="8" fillId="4" borderId="0" xfId="0" applyNumberFormat="1" applyFont="1" applyFill="1"/>
  </cellXfs>
  <cellStyles count="4">
    <cellStyle name="Comma 2" xfId="1" xr:uid="{A92D624B-81F8-427E-A7D8-7BC4D80B4A3A}"/>
    <cellStyle name="Normal" xfId="0" builtinId="0"/>
    <cellStyle name="Normal 5" xfId="2" xr:uid="{E9A7D747-C520-4705-8B38-CF609B2C2FC5}"/>
    <cellStyle name="Percent 2" xfId="3" xr:uid="{0AFAF0D7-68C7-4806-9379-EB7138B76C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211665</xdr:colOff>
      <xdr:row>36</xdr:row>
      <xdr:rowOff>0</xdr:rowOff>
    </xdr:from>
    <xdr:ext cx="4863041" cy="984249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8CCB282-0BFA-45CB-906F-4F29D0992F0C}"/>
            </a:ext>
          </a:extLst>
        </xdr:cNvPr>
        <xdr:cNvSpPr txBox="1"/>
      </xdr:nvSpPr>
      <xdr:spPr>
        <a:xfrm>
          <a:off x="2154765" y="6515100"/>
          <a:ext cx="4863041" cy="9842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100">
              <a:latin typeface="Calibri" panose="020F0502020204030204" pitchFamily="34" charset="0"/>
              <a:cs typeface="Calibri" panose="020F0502020204030204" pitchFamily="34" charset="0"/>
            </a:rPr>
            <a:t>• </a:t>
          </a:r>
          <a:r>
            <a:rPr lang="en-US" sz="1100" baseline="0">
              <a:latin typeface="Calibri" panose="020F0502020204030204" pitchFamily="34" charset="0"/>
              <a:cs typeface="Calibri" panose="020F0502020204030204" pitchFamily="34" charset="0"/>
            </a:rPr>
            <a:t> Expalining the variance to prior forecast helps improve future forecast.</a:t>
          </a:r>
          <a:endParaRPr lang="en-US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•  Challenge yourself to reach an</a:t>
          </a:r>
          <a: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% or $ target</a:t>
          </a:r>
          <a:b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b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Use this box to explain variance to prior forecast.</a:t>
          </a:r>
        </a:p>
      </xdr:txBody>
    </xdr:sp>
    <xdr:clientData/>
  </xdr:oneCellAnchor>
  <xdr:oneCellAnchor>
    <xdr:from>
      <xdr:col>3</xdr:col>
      <xdr:colOff>793749</xdr:colOff>
      <xdr:row>11</xdr:row>
      <xdr:rowOff>142876</xdr:rowOff>
    </xdr:from>
    <xdr:ext cx="6699250" cy="5206999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6435441-E5DB-469B-BDE0-438442625FD1}"/>
            </a:ext>
          </a:extLst>
        </xdr:cNvPr>
        <xdr:cNvSpPr txBox="1"/>
      </xdr:nvSpPr>
      <xdr:spPr>
        <a:xfrm>
          <a:off x="2589211" y="2133601"/>
          <a:ext cx="6699250" cy="5206999"/>
        </a:xfrm>
        <a:prstGeom prst="rect">
          <a:avLst/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400"/>
            <a:t>Instructions:</a:t>
          </a:r>
          <a:br>
            <a:rPr lang="en-US" sz="1400"/>
          </a:br>
          <a:br>
            <a:rPr lang="en-US" sz="1400"/>
          </a:br>
          <a:r>
            <a:rPr lang="en-US" sz="1400"/>
            <a:t>1. Start by editing the blue values on the control tab.</a:t>
          </a:r>
          <a:r>
            <a:rPr lang="en-US" sz="1400" baseline="0"/>
            <a:t> </a:t>
          </a:r>
        </a:p>
        <a:p>
          <a:r>
            <a:rPr lang="en-US" sz="1400" baseline="0"/>
            <a:t>2. Adjust cash in items as needed. </a:t>
          </a:r>
        </a:p>
        <a:p>
          <a:r>
            <a:rPr lang="en-US" sz="1400" baseline="0"/>
            <a:t>3. Adjust cash out items as needed. </a:t>
          </a:r>
        </a:p>
        <a:p>
          <a:r>
            <a:rPr lang="en-US" sz="1400" baseline="0"/>
            <a:t>4. Use the analytics to improve each forecast version.</a:t>
          </a:r>
          <a:br>
            <a:rPr lang="en-US" sz="1400" baseline="0"/>
          </a:br>
          <a:r>
            <a:rPr lang="en-US" sz="1400" baseline="0"/>
            <a:t>5. Add your open AP and AR reports </a:t>
          </a:r>
          <a:br>
            <a:rPr lang="en-US" sz="1400" baseline="0"/>
          </a:br>
          <a:r>
            <a:rPr lang="en-US" sz="1400" baseline="0"/>
            <a:t>6. Discuss the forecast with your leadership team to spur action on problems / opportunities</a:t>
          </a:r>
        </a:p>
        <a:p>
          <a:r>
            <a:rPr lang="en-US" sz="1400" baseline="0"/>
            <a:t>7. Only add complexity if it adds value - try not to overthink this. </a:t>
          </a:r>
        </a:p>
        <a:p>
          <a:r>
            <a:rPr lang="en-US" sz="1400" baseline="0"/>
            <a:t>8. Of course, change the hosptial name &amp; remove this box. </a:t>
          </a:r>
          <a:br>
            <a:rPr lang="en-US" sz="1400" baseline="0"/>
          </a:br>
          <a:br>
            <a:rPr lang="en-US" sz="1400" baseline="0"/>
          </a:br>
          <a:r>
            <a:rPr lang="en-US" sz="1400" baseline="0"/>
            <a:t>Enjoy!</a:t>
          </a:r>
        </a:p>
        <a:p>
          <a:endParaRPr lang="en-US" sz="1400" baseline="0"/>
        </a:p>
        <a:p>
          <a:r>
            <a:rPr lang="en-US" sz="1400" baseline="0"/>
            <a:t>Gregory Brickner</a:t>
          </a:r>
          <a:br>
            <a:rPr lang="en-US" sz="1400" baseline="0"/>
          </a:br>
          <a:r>
            <a:rPr lang="en-US" sz="1400" baseline="0"/>
            <a:t>Newbrier</a:t>
          </a:r>
          <a:br>
            <a:rPr lang="en-US" sz="1400" baseline="0"/>
          </a:br>
          <a:br>
            <a:rPr lang="en-US" sz="1400" baseline="0"/>
          </a:br>
          <a:r>
            <a:rPr lang="en-US" sz="1400" baseline="0"/>
            <a:t>www.newbrier.com</a:t>
          </a:r>
          <a:br>
            <a:rPr lang="en-US" sz="1400" baseline="0"/>
          </a:br>
          <a:r>
            <a:rPr lang="en-US" sz="1400" baseline="0"/>
            <a:t>gb@newbrier.com</a:t>
          </a:r>
          <a:br>
            <a:rPr lang="en-US" sz="1400" baseline="0"/>
          </a:br>
          <a:br>
            <a:rPr lang="en-US" sz="1400" baseline="0"/>
          </a:br>
          <a:r>
            <a:rPr lang="en-US" sz="1400" baseline="0"/>
            <a:t>1-605-215-0000</a:t>
          </a:r>
          <a:endParaRPr lang="en-US" sz="14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MCFS2\users\gbrickner\Physician%20Roster%20Correc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hysician Roster Corrected"/>
      <sheetName val="vlookup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7735F-63C4-4E31-BE07-874AFB9B5D74}">
  <sheetPr>
    <pageSetUpPr fitToPage="1"/>
  </sheetPr>
  <dimension ref="A1:AE52"/>
  <sheetViews>
    <sheetView tabSelected="1" zoomScale="90" zoomScaleNormal="90" workbookViewId="0">
      <pane xSplit="2" ySplit="5" topLeftCell="C6" activePane="bottomRight" state="frozenSplit"/>
      <selection activeCell="H60" sqref="H60"/>
      <selection pane="topRight" activeCell="H60" sqref="H60"/>
      <selection pane="bottomLeft" activeCell="H60" sqref="H60"/>
      <selection pane="bottomRight" activeCell="E55" sqref="E55"/>
    </sheetView>
  </sheetViews>
  <sheetFormatPr defaultRowHeight="14.25"/>
  <cols>
    <col min="1" max="1" width="4.1328125" style="1" customWidth="1"/>
    <col min="2" max="2" width="32.3984375" bestFit="1" customWidth="1"/>
    <col min="3" max="3" width="16.1328125" bestFit="1" customWidth="1"/>
    <col min="4" max="8" width="12.59765625" customWidth="1"/>
    <col min="9" max="9" width="13.86328125" bestFit="1" customWidth="1"/>
    <col min="10" max="28" width="12.59765625" customWidth="1"/>
    <col min="29" max="29" width="13.73046875" bestFit="1" customWidth="1"/>
    <col min="31" max="31" width="15" bestFit="1" customWidth="1"/>
  </cols>
  <sheetData>
    <row r="1" spans="1:31" ht="28.5">
      <c r="B1" s="32" t="s">
        <v>24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1">
      <c r="B2" s="31" t="s">
        <v>23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1">
      <c r="B3" s="30" t="str">
        <f>"Forecast as of "&amp;TEXT(v_Fore_Date,"MMM. DD, YYYY")</f>
        <v>Forecast as of Jan. 02, 2024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1">
      <c r="B4" s="1"/>
      <c r="C4" s="29">
        <v>1</v>
      </c>
      <c r="D4" s="29">
        <f>C4+1</f>
        <v>2</v>
      </c>
      <c r="E4" s="29">
        <f>D4+1</f>
        <v>3</v>
      </c>
      <c r="F4" s="29">
        <f>E4+1</f>
        <v>4</v>
      </c>
      <c r="G4" s="29">
        <f>F4+1</f>
        <v>5</v>
      </c>
      <c r="H4" s="29">
        <f>G4+1</f>
        <v>6</v>
      </c>
      <c r="I4" s="29">
        <f>H4+1</f>
        <v>7</v>
      </c>
      <c r="J4" s="29">
        <f>I4+1</f>
        <v>8</v>
      </c>
      <c r="K4" s="29">
        <f>J4+1</f>
        <v>9</v>
      </c>
      <c r="L4" s="29">
        <f>K4+1</f>
        <v>10</v>
      </c>
      <c r="M4" s="29">
        <f>L4+1</f>
        <v>11</v>
      </c>
      <c r="N4" s="29">
        <f>M4+1</f>
        <v>12</v>
      </c>
      <c r="O4" s="29">
        <f>N4+1</f>
        <v>13</v>
      </c>
      <c r="P4" s="29">
        <f>O4+1</f>
        <v>14</v>
      </c>
      <c r="Q4" s="29">
        <f>P4+1</f>
        <v>15</v>
      </c>
      <c r="R4" s="29">
        <f>Q4+1</f>
        <v>16</v>
      </c>
      <c r="S4" s="29">
        <f>R4+1</f>
        <v>17</v>
      </c>
      <c r="T4" s="29">
        <f>S4+1</f>
        <v>18</v>
      </c>
      <c r="U4" s="29">
        <f>T4+1</f>
        <v>19</v>
      </c>
      <c r="V4" s="29">
        <f>U4+1</f>
        <v>20</v>
      </c>
      <c r="W4" s="29">
        <f>V4+1</f>
        <v>21</v>
      </c>
      <c r="X4" s="29">
        <f>W4+1</f>
        <v>22</v>
      </c>
      <c r="Y4" s="29">
        <f>X4+1</f>
        <v>23</v>
      </c>
      <c r="Z4" s="29">
        <f>Y4+1</f>
        <v>24</v>
      </c>
      <c r="AA4" s="29">
        <f>Z4+1</f>
        <v>25</v>
      </c>
      <c r="AB4" s="29">
        <f>AA4+1</f>
        <v>26</v>
      </c>
      <c r="AC4" s="1"/>
      <c r="AD4" s="1"/>
    </row>
    <row r="5" spans="1:31">
      <c r="B5" s="28" t="s">
        <v>22</v>
      </c>
      <c r="C5" s="27">
        <f>v_Fore_Start</f>
        <v>45291</v>
      </c>
      <c r="D5" s="27">
        <f>C5+7</f>
        <v>45298</v>
      </c>
      <c r="E5" s="27">
        <f>D5+7</f>
        <v>45305</v>
      </c>
      <c r="F5" s="27">
        <f>E5+7</f>
        <v>45312</v>
      </c>
      <c r="G5" s="27">
        <f>F5+7</f>
        <v>45319</v>
      </c>
      <c r="H5" s="27">
        <f>G5+7</f>
        <v>45326</v>
      </c>
      <c r="I5" s="27">
        <f>H5+7</f>
        <v>45333</v>
      </c>
      <c r="J5" s="27">
        <f>I5+7</f>
        <v>45340</v>
      </c>
      <c r="K5" s="27">
        <f>J5+7</f>
        <v>45347</v>
      </c>
      <c r="L5" s="27">
        <f>K5+7</f>
        <v>45354</v>
      </c>
      <c r="M5" s="27">
        <f>L5+7</f>
        <v>45361</v>
      </c>
      <c r="N5" s="27">
        <f>M5+7</f>
        <v>45368</v>
      </c>
      <c r="O5" s="27">
        <f>N5+7</f>
        <v>45375</v>
      </c>
      <c r="P5" s="27">
        <f>O5+7</f>
        <v>45382</v>
      </c>
      <c r="Q5" s="27">
        <f>P5+7</f>
        <v>45389</v>
      </c>
      <c r="R5" s="27">
        <f>Q5+7</f>
        <v>45396</v>
      </c>
      <c r="S5" s="27">
        <f>R5+7</f>
        <v>45403</v>
      </c>
      <c r="T5" s="27">
        <f>S5+7</f>
        <v>45410</v>
      </c>
      <c r="U5" s="27">
        <f>T5+7</f>
        <v>45417</v>
      </c>
      <c r="V5" s="27">
        <f>U5+7</f>
        <v>45424</v>
      </c>
      <c r="W5" s="27">
        <f>V5+7</f>
        <v>45431</v>
      </c>
      <c r="X5" s="27">
        <f>W5+7</f>
        <v>45438</v>
      </c>
      <c r="Y5" s="27">
        <f>X5+7</f>
        <v>45445</v>
      </c>
      <c r="Z5" s="27">
        <f>Y5+7</f>
        <v>45452</v>
      </c>
      <c r="AA5" s="27">
        <f>Z5+7</f>
        <v>45459</v>
      </c>
      <c r="AB5" s="27">
        <f>AA5+7</f>
        <v>45466</v>
      </c>
      <c r="AC5" s="26" t="s">
        <v>21</v>
      </c>
      <c r="AD5" s="1"/>
    </row>
    <row r="6" spans="1:3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1" s="15" customFormat="1">
      <c r="A7" s="5">
        <v>1</v>
      </c>
      <c r="B7" s="14" t="s">
        <v>10</v>
      </c>
      <c r="C7" s="25">
        <f>v_Cash_Start</f>
        <v>10000000</v>
      </c>
      <c r="D7" s="16">
        <f>C34</f>
        <v>10575500</v>
      </c>
      <c r="E7" s="16">
        <f>D34</f>
        <v>10951000</v>
      </c>
      <c r="F7" s="16">
        <f>E34</f>
        <v>11526500</v>
      </c>
      <c r="G7" s="16">
        <f>F34</f>
        <v>11902000</v>
      </c>
      <c r="H7" s="16">
        <f>G34</f>
        <v>12477500</v>
      </c>
      <c r="I7" s="16">
        <f>H34</f>
        <v>12853000</v>
      </c>
      <c r="J7" s="16">
        <f>I34</f>
        <v>13428500</v>
      </c>
      <c r="K7" s="16">
        <f>J34</f>
        <v>13804000</v>
      </c>
      <c r="L7" s="16">
        <f>K34</f>
        <v>14379500</v>
      </c>
      <c r="M7" s="16">
        <f>L34</f>
        <v>14755000</v>
      </c>
      <c r="N7" s="16">
        <f>M34</f>
        <v>15330500</v>
      </c>
      <c r="O7" s="16">
        <f>N34</f>
        <v>15706000</v>
      </c>
      <c r="P7" s="16">
        <f>O34</f>
        <v>16281500</v>
      </c>
      <c r="Q7" s="16">
        <f>P34</f>
        <v>16657000</v>
      </c>
      <c r="R7" s="16">
        <f>Q34</f>
        <v>17232500</v>
      </c>
      <c r="S7" s="16">
        <f>R34</f>
        <v>17608000</v>
      </c>
      <c r="T7" s="16">
        <f>S34</f>
        <v>18183500</v>
      </c>
      <c r="U7" s="16">
        <f>T34</f>
        <v>18559000</v>
      </c>
      <c r="V7" s="16">
        <f>U34</f>
        <v>19134500</v>
      </c>
      <c r="W7" s="16">
        <f>V34</f>
        <v>19510000</v>
      </c>
      <c r="X7" s="16">
        <f>W34</f>
        <v>20085500</v>
      </c>
      <c r="Y7" s="16">
        <f>X34</f>
        <v>20461000</v>
      </c>
      <c r="Z7" s="16">
        <f>Y34</f>
        <v>21036500</v>
      </c>
      <c r="AA7" s="16">
        <f>Z34</f>
        <v>21412000</v>
      </c>
      <c r="AB7" s="16">
        <f>AA34</f>
        <v>21987500</v>
      </c>
      <c r="AC7" s="16">
        <f>C7</f>
        <v>10000000</v>
      </c>
      <c r="AD7" s="14"/>
    </row>
    <row r="8" spans="1:31" ht="5.0999999999999996" customHeight="1">
      <c r="A8" s="5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1" s="15" customFormat="1">
      <c r="A9" s="5">
        <f>A7+1</f>
        <v>2</v>
      </c>
      <c r="B9" s="14" t="s">
        <v>20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</row>
    <row r="10" spans="1:31">
      <c r="A10" s="5">
        <f>A9+1</f>
        <v>3</v>
      </c>
      <c r="B10" s="4" t="s">
        <v>19</v>
      </c>
      <c r="C10" s="24">
        <v>75000</v>
      </c>
      <c r="D10" s="24">
        <v>75000</v>
      </c>
      <c r="E10" s="24">
        <v>75000</v>
      </c>
      <c r="F10" s="24">
        <v>75000</v>
      </c>
      <c r="G10" s="24">
        <v>75000</v>
      </c>
      <c r="H10" s="24">
        <v>75000</v>
      </c>
      <c r="I10" s="24">
        <v>75000</v>
      </c>
      <c r="J10" s="24">
        <v>75000</v>
      </c>
      <c r="K10" s="24">
        <v>75000</v>
      </c>
      <c r="L10" s="24">
        <v>75000</v>
      </c>
      <c r="M10" s="24">
        <v>75000</v>
      </c>
      <c r="N10" s="24">
        <v>75000</v>
      </c>
      <c r="O10" s="24">
        <v>75000</v>
      </c>
      <c r="P10" s="24">
        <v>75000</v>
      </c>
      <c r="Q10" s="24">
        <v>75000</v>
      </c>
      <c r="R10" s="24">
        <v>75000</v>
      </c>
      <c r="S10" s="24">
        <v>75000</v>
      </c>
      <c r="T10" s="24">
        <v>75000</v>
      </c>
      <c r="U10" s="24">
        <v>75000</v>
      </c>
      <c r="V10" s="24">
        <v>75000</v>
      </c>
      <c r="W10" s="24">
        <v>75000</v>
      </c>
      <c r="X10" s="24">
        <v>75000</v>
      </c>
      <c r="Y10" s="24">
        <v>75000</v>
      </c>
      <c r="Z10" s="24">
        <v>75000</v>
      </c>
      <c r="AA10" s="24">
        <v>75000</v>
      </c>
      <c r="AB10" s="24">
        <v>75000</v>
      </c>
      <c r="AC10" s="2">
        <f>SUM(C10:AB10)</f>
        <v>1950000</v>
      </c>
      <c r="AD10" s="1"/>
      <c r="AE10" s="23"/>
    </row>
    <row r="11" spans="1:31">
      <c r="A11" s="5">
        <f>A10+1</f>
        <v>4</v>
      </c>
      <c r="B11" s="4" t="s">
        <v>14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f>SUM(C11:AB11)</f>
        <v>0</v>
      </c>
      <c r="AD11" s="1"/>
      <c r="AE11" s="21"/>
    </row>
    <row r="12" spans="1:31">
      <c r="A12" s="5">
        <f>A11+1</f>
        <v>5</v>
      </c>
      <c r="B12" s="4" t="s">
        <v>14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f>SUM(C12:AB12)</f>
        <v>0</v>
      </c>
      <c r="AD12" s="1"/>
      <c r="AE12" s="21"/>
    </row>
    <row r="13" spans="1:31">
      <c r="A13" s="5">
        <f>A12+1</f>
        <v>6</v>
      </c>
      <c r="B13" s="4" t="s">
        <v>14</v>
      </c>
      <c r="C13" s="11">
        <v>0</v>
      </c>
      <c r="D13" s="11">
        <v>0</v>
      </c>
      <c r="E13" s="11">
        <v>0</v>
      </c>
      <c r="F13" s="11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">
        <f>SUM(C13:AB13)</f>
        <v>0</v>
      </c>
      <c r="AD13" s="1"/>
      <c r="AE13" s="21"/>
    </row>
    <row r="14" spans="1:31">
      <c r="A14" s="5">
        <f>A13+1</f>
        <v>7</v>
      </c>
      <c r="B14" s="4" t="s">
        <v>14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f>SUM(C14:AB14)</f>
        <v>0</v>
      </c>
      <c r="AD14" s="1"/>
    </row>
    <row r="15" spans="1:31">
      <c r="A15" s="5">
        <f>A14+1</f>
        <v>8</v>
      </c>
      <c r="B15" s="4" t="s">
        <v>14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f>SUM(C15:AB15)</f>
        <v>0</v>
      </c>
      <c r="AD15" s="1"/>
    </row>
    <row r="16" spans="1:31">
      <c r="A16" s="5">
        <f>A15+1</f>
        <v>9</v>
      </c>
      <c r="B16" s="4" t="s">
        <v>14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f>SUM(C16:AB16)</f>
        <v>0</v>
      </c>
      <c r="AD16" s="1"/>
    </row>
    <row r="17" spans="1:31">
      <c r="A17" s="5">
        <f>A16+1</f>
        <v>10</v>
      </c>
      <c r="B17" s="4" t="s">
        <v>14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f>SUM(C17:AB17)</f>
        <v>0</v>
      </c>
      <c r="AD17" s="1"/>
    </row>
    <row r="18" spans="1:31">
      <c r="A18" s="5">
        <f>A17+1</f>
        <v>11</v>
      </c>
      <c r="B18" s="4" t="s">
        <v>18</v>
      </c>
      <c r="C18" s="20">
        <v>500</v>
      </c>
      <c r="D18" s="20">
        <v>500</v>
      </c>
      <c r="E18" s="20">
        <v>500</v>
      </c>
      <c r="F18" s="20">
        <v>500</v>
      </c>
      <c r="G18" s="20">
        <v>500</v>
      </c>
      <c r="H18" s="20">
        <v>500</v>
      </c>
      <c r="I18" s="20">
        <v>500</v>
      </c>
      <c r="J18" s="20">
        <v>500</v>
      </c>
      <c r="K18" s="20">
        <v>500</v>
      </c>
      <c r="L18" s="20">
        <v>500</v>
      </c>
      <c r="M18" s="20">
        <v>500</v>
      </c>
      <c r="N18" s="20">
        <v>500</v>
      </c>
      <c r="O18" s="20">
        <v>500</v>
      </c>
      <c r="P18" s="20">
        <v>500</v>
      </c>
      <c r="Q18" s="20">
        <v>500</v>
      </c>
      <c r="R18" s="20">
        <v>500</v>
      </c>
      <c r="S18" s="20">
        <v>500</v>
      </c>
      <c r="T18" s="20">
        <v>500</v>
      </c>
      <c r="U18" s="20">
        <v>500</v>
      </c>
      <c r="V18" s="20">
        <v>500</v>
      </c>
      <c r="W18" s="20">
        <v>500</v>
      </c>
      <c r="X18" s="20">
        <v>500</v>
      </c>
      <c r="Y18" s="20">
        <v>500</v>
      </c>
      <c r="Z18" s="20">
        <v>500</v>
      </c>
      <c r="AA18" s="20">
        <v>500</v>
      </c>
      <c r="AB18" s="20">
        <v>500</v>
      </c>
      <c r="AC18" s="2">
        <f>SUM(C18:AB18)</f>
        <v>13000</v>
      </c>
      <c r="AD18" s="1"/>
    </row>
    <row r="19" spans="1:31">
      <c r="A19" s="5">
        <f>A18+1</f>
        <v>12</v>
      </c>
      <c r="B19" s="19" t="str">
        <f>"Total "&amp;B9</f>
        <v>Total Cash Receipts</v>
      </c>
      <c r="C19" s="18">
        <f>SUBTOTAL(9,C10:C18)</f>
        <v>75500</v>
      </c>
      <c r="D19" s="18">
        <f>SUBTOTAL(9,D10:D18)</f>
        <v>75500</v>
      </c>
      <c r="E19" s="18">
        <f>SUBTOTAL(9,E10:E18)</f>
        <v>75500</v>
      </c>
      <c r="F19" s="18">
        <f>SUBTOTAL(9,F10:F18)</f>
        <v>75500</v>
      </c>
      <c r="G19" s="18">
        <f>SUBTOTAL(9,G10:G18)</f>
        <v>75500</v>
      </c>
      <c r="H19" s="18">
        <f>SUBTOTAL(9,H10:H18)</f>
        <v>75500</v>
      </c>
      <c r="I19" s="18">
        <f>SUBTOTAL(9,I10:I18)</f>
        <v>75500</v>
      </c>
      <c r="J19" s="18">
        <f>SUBTOTAL(9,J10:J18)</f>
        <v>75500</v>
      </c>
      <c r="K19" s="18">
        <f>SUBTOTAL(9,K10:K18)</f>
        <v>75500</v>
      </c>
      <c r="L19" s="18">
        <f>SUBTOTAL(9,L10:L18)</f>
        <v>75500</v>
      </c>
      <c r="M19" s="18">
        <f>SUBTOTAL(9,M10:M18)</f>
        <v>75500</v>
      </c>
      <c r="N19" s="18">
        <f>SUBTOTAL(9,N10:N18)</f>
        <v>75500</v>
      </c>
      <c r="O19" s="18">
        <f>SUBTOTAL(9,O10:O18)</f>
        <v>75500</v>
      </c>
      <c r="P19" s="18">
        <f>SUBTOTAL(9,P10:P18)</f>
        <v>75500</v>
      </c>
      <c r="Q19" s="18">
        <f>SUBTOTAL(9,Q10:Q18)</f>
        <v>75500</v>
      </c>
      <c r="R19" s="18">
        <f>SUBTOTAL(9,R10:R18)</f>
        <v>75500</v>
      </c>
      <c r="S19" s="18">
        <f>SUBTOTAL(9,S10:S18)</f>
        <v>75500</v>
      </c>
      <c r="T19" s="18">
        <f>SUBTOTAL(9,T10:T18)</f>
        <v>75500</v>
      </c>
      <c r="U19" s="18">
        <f>SUBTOTAL(9,U10:U18)</f>
        <v>75500</v>
      </c>
      <c r="V19" s="18">
        <f>SUBTOTAL(9,V10:V18)</f>
        <v>75500</v>
      </c>
      <c r="W19" s="18">
        <f>SUBTOTAL(9,W10:W18)</f>
        <v>75500</v>
      </c>
      <c r="X19" s="18">
        <f>SUBTOTAL(9,X10:X18)</f>
        <v>75500</v>
      </c>
      <c r="Y19" s="18">
        <f>SUBTOTAL(9,Y10:Y18)</f>
        <v>75500</v>
      </c>
      <c r="Z19" s="18">
        <f>SUBTOTAL(9,Z10:Z18)</f>
        <v>75500</v>
      </c>
      <c r="AA19" s="18">
        <f>SUBTOTAL(9,AA10:AA18)</f>
        <v>75500</v>
      </c>
      <c r="AB19" s="18">
        <f>SUBTOTAL(9,AB10:AB18)</f>
        <v>75500</v>
      </c>
      <c r="AC19" s="18">
        <f>SUBTOTAL(9,AC10:AC18)</f>
        <v>1963000</v>
      </c>
      <c r="AD19" s="1"/>
    </row>
    <row r="20" spans="1:31" ht="5.0999999999999996" customHeight="1">
      <c r="A20" s="5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1" s="15" customFormat="1">
      <c r="A21" s="5">
        <f>A19+1</f>
        <v>13</v>
      </c>
      <c r="B21" s="17" t="s">
        <v>17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</row>
    <row r="22" spans="1:31">
      <c r="A22" s="5">
        <f>A21+1</f>
        <v>14</v>
      </c>
      <c r="B22" s="4" t="s">
        <v>16</v>
      </c>
      <c r="C22" s="2">
        <v>200000</v>
      </c>
      <c r="D22" s="2">
        <v>0</v>
      </c>
      <c r="E22" s="2">
        <v>200000</v>
      </c>
      <c r="F22" s="2">
        <v>0</v>
      </c>
      <c r="G22" s="2">
        <v>200000</v>
      </c>
      <c r="H22" s="2">
        <v>0</v>
      </c>
      <c r="I22" s="2">
        <v>200000</v>
      </c>
      <c r="J22" s="2">
        <v>0</v>
      </c>
      <c r="K22" s="2">
        <v>200000</v>
      </c>
      <c r="L22" s="2">
        <v>0</v>
      </c>
      <c r="M22" s="2">
        <v>200000</v>
      </c>
      <c r="N22" s="2">
        <v>0</v>
      </c>
      <c r="O22" s="2">
        <v>200000</v>
      </c>
      <c r="P22" s="2">
        <v>0</v>
      </c>
      <c r="Q22" s="2">
        <v>200000</v>
      </c>
      <c r="R22" s="2">
        <v>0</v>
      </c>
      <c r="S22" s="2">
        <v>200000</v>
      </c>
      <c r="T22" s="2">
        <v>0</v>
      </c>
      <c r="U22" s="2">
        <v>200000</v>
      </c>
      <c r="V22" s="2">
        <v>0</v>
      </c>
      <c r="W22" s="2">
        <v>200000</v>
      </c>
      <c r="X22" s="2">
        <v>0</v>
      </c>
      <c r="Y22" s="2">
        <v>200000</v>
      </c>
      <c r="Z22" s="2">
        <v>0</v>
      </c>
      <c r="AA22" s="2">
        <v>200000</v>
      </c>
      <c r="AB22" s="2">
        <v>0</v>
      </c>
      <c r="AC22" s="2">
        <f>SUM(C22:AB22)</f>
        <v>2600000</v>
      </c>
      <c r="AD22" s="1"/>
    </row>
    <row r="23" spans="1:31">
      <c r="A23" s="5">
        <f>A22+1</f>
        <v>15</v>
      </c>
      <c r="B23" s="4" t="s">
        <v>15</v>
      </c>
      <c r="C23" s="2">
        <v>300000</v>
      </c>
      <c r="D23" s="2">
        <v>300000</v>
      </c>
      <c r="E23" s="2">
        <v>300000</v>
      </c>
      <c r="F23" s="2">
        <v>300000</v>
      </c>
      <c r="G23" s="2">
        <v>300000</v>
      </c>
      <c r="H23" s="2">
        <v>300000</v>
      </c>
      <c r="I23" s="2">
        <v>300000</v>
      </c>
      <c r="J23" s="2">
        <v>300000</v>
      </c>
      <c r="K23" s="2">
        <v>300000</v>
      </c>
      <c r="L23" s="2">
        <v>300000</v>
      </c>
      <c r="M23" s="2">
        <v>300000</v>
      </c>
      <c r="N23" s="2">
        <v>300000</v>
      </c>
      <c r="O23" s="2">
        <v>300000</v>
      </c>
      <c r="P23" s="2">
        <v>300000</v>
      </c>
      <c r="Q23" s="2">
        <v>300000</v>
      </c>
      <c r="R23" s="2">
        <v>300000</v>
      </c>
      <c r="S23" s="2">
        <v>300000</v>
      </c>
      <c r="T23" s="2">
        <v>300000</v>
      </c>
      <c r="U23" s="2">
        <v>300000</v>
      </c>
      <c r="V23" s="2">
        <v>300000</v>
      </c>
      <c r="W23" s="2">
        <v>300000</v>
      </c>
      <c r="X23" s="2">
        <v>300000</v>
      </c>
      <c r="Y23" s="2">
        <v>300000</v>
      </c>
      <c r="Z23" s="2">
        <v>300000</v>
      </c>
      <c r="AA23" s="2">
        <v>300000</v>
      </c>
      <c r="AB23" s="2">
        <v>300000</v>
      </c>
      <c r="AC23" s="2">
        <f>SUM(C23:AB23)</f>
        <v>7800000</v>
      </c>
      <c r="AD23" s="1"/>
    </row>
    <row r="24" spans="1:31">
      <c r="A24" s="5">
        <f>A23+1</f>
        <v>16</v>
      </c>
      <c r="B24" s="4" t="s">
        <v>14</v>
      </c>
      <c r="C24" s="20">
        <v>0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">
        <f>SUM(C24:AB24)</f>
        <v>0</v>
      </c>
      <c r="AD24" s="1"/>
    </row>
    <row r="25" spans="1:31">
      <c r="A25" s="5">
        <f>A24+1</f>
        <v>17</v>
      </c>
      <c r="B25" s="4" t="s">
        <v>14</v>
      </c>
      <c r="C25" s="20">
        <v>0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">
        <f>SUM(C25:AB25)</f>
        <v>0</v>
      </c>
      <c r="AD25" s="1"/>
      <c r="AE25" s="22"/>
    </row>
    <row r="26" spans="1:31">
      <c r="A26" s="5">
        <f>A25+1</f>
        <v>18</v>
      </c>
      <c r="B26" s="4" t="s">
        <v>14</v>
      </c>
      <c r="C26" s="20">
        <v>0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2">
        <v>0</v>
      </c>
      <c r="AA26" s="20">
        <v>0</v>
      </c>
      <c r="AB26" s="20">
        <v>0</v>
      </c>
      <c r="AC26" s="2">
        <f>SUM(C26:AB26)</f>
        <v>0</v>
      </c>
      <c r="AD26" s="1"/>
      <c r="AE26" s="21"/>
    </row>
    <row r="27" spans="1:31">
      <c r="A27" s="5">
        <f>A26+1</f>
        <v>19</v>
      </c>
      <c r="B27" s="4" t="s">
        <v>14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">
        <f>SUM(C27:AB27)</f>
        <v>0</v>
      </c>
      <c r="AD27" s="1"/>
    </row>
    <row r="28" spans="1:31">
      <c r="A28" s="5">
        <f>A27+1</f>
        <v>20</v>
      </c>
      <c r="B28" s="4" t="s">
        <v>14</v>
      </c>
      <c r="C28" s="20">
        <v>0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">
        <f>SUM(C28:AB28)</f>
        <v>0</v>
      </c>
      <c r="AD28" s="1"/>
    </row>
    <row r="29" spans="1:31">
      <c r="A29" s="5">
        <f>A28+1</f>
        <v>21</v>
      </c>
      <c r="B29" s="4" t="s">
        <v>14</v>
      </c>
      <c r="C29" s="20">
        <v>0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">
        <f>SUM(C29:AB29)</f>
        <v>0</v>
      </c>
      <c r="AD29" s="1"/>
    </row>
    <row r="30" spans="1:31">
      <c r="A30" s="5">
        <f>A29+1</f>
        <v>22</v>
      </c>
      <c r="B30" s="19" t="str">
        <f>"Total "&amp;B21</f>
        <v>Total Cash Disbursements</v>
      </c>
      <c r="C30" s="18">
        <f>SUBTOTAL(9,C22:C29)</f>
        <v>500000</v>
      </c>
      <c r="D30" s="18">
        <f>SUBTOTAL(9,D22:D29)</f>
        <v>300000</v>
      </c>
      <c r="E30" s="18">
        <f>SUBTOTAL(9,E22:E29)</f>
        <v>500000</v>
      </c>
      <c r="F30" s="18">
        <f>SUBTOTAL(9,F22:F29)</f>
        <v>300000</v>
      </c>
      <c r="G30" s="18">
        <f>SUBTOTAL(9,G22:G29)</f>
        <v>500000</v>
      </c>
      <c r="H30" s="18">
        <f>SUBTOTAL(9,H22:H29)</f>
        <v>300000</v>
      </c>
      <c r="I30" s="18">
        <f>SUBTOTAL(9,I22:I29)</f>
        <v>500000</v>
      </c>
      <c r="J30" s="18">
        <f>SUBTOTAL(9,J22:J29)</f>
        <v>300000</v>
      </c>
      <c r="K30" s="18">
        <f>SUBTOTAL(9,K22:K29)</f>
        <v>500000</v>
      </c>
      <c r="L30" s="18">
        <f>SUBTOTAL(9,L22:L29)</f>
        <v>300000</v>
      </c>
      <c r="M30" s="18">
        <f>SUBTOTAL(9,M22:M29)</f>
        <v>500000</v>
      </c>
      <c r="N30" s="18">
        <f>SUBTOTAL(9,N22:N29)</f>
        <v>300000</v>
      </c>
      <c r="O30" s="18">
        <f>SUBTOTAL(9,O22:O29)</f>
        <v>500000</v>
      </c>
      <c r="P30" s="18">
        <f>SUBTOTAL(9,P22:P29)</f>
        <v>300000</v>
      </c>
      <c r="Q30" s="18">
        <f>SUBTOTAL(9,Q22:Q29)</f>
        <v>500000</v>
      </c>
      <c r="R30" s="18">
        <f>SUBTOTAL(9,R22:R29)</f>
        <v>300000</v>
      </c>
      <c r="S30" s="18">
        <f>SUBTOTAL(9,S22:S29)</f>
        <v>500000</v>
      </c>
      <c r="T30" s="18">
        <f>SUBTOTAL(9,T22:T29)</f>
        <v>300000</v>
      </c>
      <c r="U30" s="18">
        <f>SUBTOTAL(9,U22:U29)</f>
        <v>500000</v>
      </c>
      <c r="V30" s="18">
        <f>SUBTOTAL(9,V22:V29)</f>
        <v>300000</v>
      </c>
      <c r="W30" s="18">
        <f>SUBTOTAL(9,W22:W29)</f>
        <v>500000</v>
      </c>
      <c r="X30" s="18">
        <f>SUBTOTAL(9,X22:X29)</f>
        <v>300000</v>
      </c>
      <c r="Y30" s="18">
        <f>SUBTOTAL(9,Y22:Y29)</f>
        <v>500000</v>
      </c>
      <c r="Z30" s="18">
        <f>SUBTOTAL(9,Z22:Z29)</f>
        <v>300000</v>
      </c>
      <c r="AA30" s="18">
        <f>SUBTOTAL(9,AA22:AA29)</f>
        <v>500000</v>
      </c>
      <c r="AB30" s="18">
        <f>SUBTOTAL(9,AB22:AB29)</f>
        <v>300000</v>
      </c>
      <c r="AC30" s="18">
        <f>SUBTOTAL(9,AC22:AC29)</f>
        <v>10400000</v>
      </c>
      <c r="AD30" s="1"/>
    </row>
    <row r="31" spans="1:31">
      <c r="A31" s="5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1" s="15" customFormat="1">
      <c r="A32" s="5">
        <f>A30+1</f>
        <v>23</v>
      </c>
      <c r="B32" s="17" t="s">
        <v>13</v>
      </c>
      <c r="C32" s="16">
        <f>SUBTOTAL(9,C10:C30)</f>
        <v>575500</v>
      </c>
      <c r="D32" s="16">
        <f>SUBTOTAL(9,D10:D30)</f>
        <v>375500</v>
      </c>
      <c r="E32" s="16">
        <f>SUBTOTAL(9,E10:E30)</f>
        <v>575500</v>
      </c>
      <c r="F32" s="16">
        <f>SUBTOTAL(9,F10:F30)</f>
        <v>375500</v>
      </c>
      <c r="G32" s="16">
        <f>SUBTOTAL(9,G10:G30)</f>
        <v>575500</v>
      </c>
      <c r="H32" s="16">
        <f>SUBTOTAL(9,H10:H30)</f>
        <v>375500</v>
      </c>
      <c r="I32" s="16">
        <f>SUBTOTAL(9,I10:I30)</f>
        <v>575500</v>
      </c>
      <c r="J32" s="16">
        <f>SUBTOTAL(9,J10:J30)</f>
        <v>375500</v>
      </c>
      <c r="K32" s="16">
        <f>SUBTOTAL(9,K10:K30)</f>
        <v>575500</v>
      </c>
      <c r="L32" s="16">
        <f>SUBTOTAL(9,L10:L30)</f>
        <v>375500</v>
      </c>
      <c r="M32" s="16">
        <f>SUBTOTAL(9,M10:M30)</f>
        <v>575500</v>
      </c>
      <c r="N32" s="16">
        <f>SUBTOTAL(9,N10:N30)</f>
        <v>375500</v>
      </c>
      <c r="O32" s="16">
        <f>SUBTOTAL(9,O10:O30)</f>
        <v>575500</v>
      </c>
      <c r="P32" s="16">
        <f>SUBTOTAL(9,P10:P30)</f>
        <v>375500</v>
      </c>
      <c r="Q32" s="16">
        <f>SUBTOTAL(9,Q10:Q30)</f>
        <v>575500</v>
      </c>
      <c r="R32" s="16">
        <f>SUBTOTAL(9,R10:R30)</f>
        <v>375500</v>
      </c>
      <c r="S32" s="16">
        <f>SUBTOTAL(9,S10:S30)</f>
        <v>575500</v>
      </c>
      <c r="T32" s="16">
        <f>SUBTOTAL(9,T10:T30)</f>
        <v>375500</v>
      </c>
      <c r="U32" s="16">
        <f>SUBTOTAL(9,U10:U30)</f>
        <v>575500</v>
      </c>
      <c r="V32" s="16">
        <f>SUBTOTAL(9,V10:V30)</f>
        <v>375500</v>
      </c>
      <c r="W32" s="16">
        <f>SUBTOTAL(9,W10:W30)</f>
        <v>575500</v>
      </c>
      <c r="X32" s="16">
        <f>SUBTOTAL(9,X10:X30)</f>
        <v>375500</v>
      </c>
      <c r="Y32" s="16">
        <f>SUBTOTAL(9,Y10:Y30)</f>
        <v>575500</v>
      </c>
      <c r="Z32" s="16">
        <f>SUBTOTAL(9,Z10:Z30)</f>
        <v>375500</v>
      </c>
      <c r="AA32" s="16">
        <f>SUBTOTAL(9,AA10:AA30)</f>
        <v>575500</v>
      </c>
      <c r="AB32" s="16">
        <f>SUBTOTAL(9,AB10:AB30)</f>
        <v>375500</v>
      </c>
      <c r="AC32" s="16">
        <f>SUBTOTAL(9,AC10:AC30)</f>
        <v>12363000</v>
      </c>
      <c r="AD32" s="14"/>
    </row>
    <row r="33" spans="1:30" ht="5.0999999999999996" customHeight="1">
      <c r="A33" s="5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s="15" customFormat="1">
      <c r="A34" s="5">
        <f>A32+1</f>
        <v>24</v>
      </c>
      <c r="B34" s="14" t="s">
        <v>12</v>
      </c>
      <c r="C34" s="16">
        <f>C7+C32</f>
        <v>10575500</v>
      </c>
      <c r="D34" s="16">
        <f>D7+D32</f>
        <v>10951000</v>
      </c>
      <c r="E34" s="16">
        <f>E7+E32</f>
        <v>11526500</v>
      </c>
      <c r="F34" s="16">
        <f>F7+F32</f>
        <v>11902000</v>
      </c>
      <c r="G34" s="16">
        <f>G7+G32</f>
        <v>12477500</v>
      </c>
      <c r="H34" s="16">
        <f>H7+H32</f>
        <v>12853000</v>
      </c>
      <c r="I34" s="16">
        <f>I7+I32</f>
        <v>13428500</v>
      </c>
      <c r="J34" s="16">
        <f>J7+J32</f>
        <v>13804000</v>
      </c>
      <c r="K34" s="16">
        <f>K7+K32</f>
        <v>14379500</v>
      </c>
      <c r="L34" s="16">
        <f>L7+L32</f>
        <v>14755000</v>
      </c>
      <c r="M34" s="16">
        <f>M7+M32</f>
        <v>15330500</v>
      </c>
      <c r="N34" s="16">
        <f>N7+N32</f>
        <v>15706000</v>
      </c>
      <c r="O34" s="16">
        <f>O7+O32</f>
        <v>16281500</v>
      </c>
      <c r="P34" s="16">
        <f>P7+P32</f>
        <v>16657000</v>
      </c>
      <c r="Q34" s="16">
        <f>Q7+Q32</f>
        <v>17232500</v>
      </c>
      <c r="R34" s="16">
        <f>R7+R32</f>
        <v>17608000</v>
      </c>
      <c r="S34" s="16">
        <f>S7+S32</f>
        <v>18183500</v>
      </c>
      <c r="T34" s="16">
        <f>T7+T32</f>
        <v>18559000</v>
      </c>
      <c r="U34" s="16">
        <f>U7+U32</f>
        <v>19134500</v>
      </c>
      <c r="V34" s="16">
        <f>V7+V32</f>
        <v>19510000</v>
      </c>
      <c r="W34" s="16">
        <f>W7+W32</f>
        <v>20085500</v>
      </c>
      <c r="X34" s="16">
        <f>X7+X32</f>
        <v>20461000</v>
      </c>
      <c r="Y34" s="16">
        <f>Y7+Y32</f>
        <v>21036500</v>
      </c>
      <c r="Z34" s="16">
        <f>Z7+Z32</f>
        <v>21412000</v>
      </c>
      <c r="AA34" s="16">
        <f>AA7+AA32</f>
        <v>21987500</v>
      </c>
      <c r="AB34" s="16">
        <f>AB7+AB32</f>
        <v>22363000</v>
      </c>
      <c r="AC34" s="16">
        <f>AC7+AC32</f>
        <v>22363000</v>
      </c>
      <c r="AD34" s="14"/>
    </row>
    <row r="35" spans="1:30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>
      <c r="A36" s="5">
        <f>A34+1</f>
        <v>25</v>
      </c>
      <c r="B36" s="14" t="s">
        <v>11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>
      <c r="A37" s="5">
        <f>A36+1</f>
        <v>26</v>
      </c>
      <c r="B37" s="4" t="s">
        <v>10</v>
      </c>
      <c r="C37" s="2">
        <f>v_Cash_Start</f>
        <v>10000000</v>
      </c>
      <c r="D37" s="1"/>
      <c r="E37" s="1"/>
      <c r="F37" s="1"/>
      <c r="G37" s="13"/>
      <c r="H37" s="9"/>
      <c r="I37" s="2"/>
      <c r="J37" s="2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D37" s="1"/>
    </row>
    <row r="38" spans="1:30">
      <c r="A38" s="5">
        <f>A37+1</f>
        <v>27</v>
      </c>
      <c r="B38" s="4" t="s">
        <v>9</v>
      </c>
      <c r="C38" s="9">
        <f>Control!C20</f>
        <v>23618791.995582096</v>
      </c>
      <c r="D38" s="1"/>
      <c r="E38" s="1"/>
      <c r="F38" s="1"/>
      <c r="G38" s="2"/>
      <c r="H38" s="2"/>
      <c r="I38" s="9"/>
      <c r="J38" s="2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>
      <c r="A39" s="5">
        <f>A38+1</f>
        <v>28</v>
      </c>
      <c r="B39" s="12" t="s">
        <v>8</v>
      </c>
      <c r="C39" s="7">
        <f>C37-C38</f>
        <v>-13618791.995582096</v>
      </c>
      <c r="D39" s="1"/>
      <c r="E39" s="1"/>
      <c r="F39" s="1"/>
      <c r="G39" s="1"/>
      <c r="H39" s="11"/>
      <c r="I39" s="1"/>
      <c r="J39" s="6"/>
      <c r="K39" s="2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>
      <c r="B40" s="1"/>
      <c r="C40" s="1"/>
      <c r="D40" s="1"/>
      <c r="E40" s="1"/>
      <c r="F40" s="1"/>
      <c r="G40" s="1"/>
      <c r="H40" s="1"/>
      <c r="I40" s="1"/>
      <c r="J40" s="2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30">
      <c r="A41" s="5">
        <f>A39+1</f>
        <v>29</v>
      </c>
      <c r="B41" s="4" t="s">
        <v>7</v>
      </c>
      <c r="C41" s="9">
        <f>MAX(C34:AB34)</f>
        <v>22363000</v>
      </c>
      <c r="D41" s="1"/>
      <c r="E41" s="2"/>
      <c r="F41" s="2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spans="1:30">
      <c r="A42" s="5">
        <f>A41+1</f>
        <v>30</v>
      </c>
      <c r="B42" s="4" t="s">
        <v>6</v>
      </c>
      <c r="C42" s="9">
        <f>MIN(C34:AB34)</f>
        <v>10575500</v>
      </c>
      <c r="D42" s="1"/>
      <c r="E42" s="1"/>
      <c r="F42" s="10"/>
      <c r="G42" s="10"/>
      <c r="H42" s="10"/>
      <c r="I42" s="10"/>
      <c r="J42" s="10"/>
      <c r="K42" s="10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1:30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spans="1:30">
      <c r="A44" s="5">
        <f>A42+1</f>
        <v>31</v>
      </c>
      <c r="B44" s="1" t="s">
        <v>5</v>
      </c>
      <c r="C44" s="2">
        <f>v_AR_Total*v_PCR</f>
        <v>150000</v>
      </c>
      <c r="D44" s="9">
        <f>C47</f>
        <v>1493441.5571923084</v>
      </c>
      <c r="E44" s="9">
        <f>D47</f>
        <v>2836883.1143846167</v>
      </c>
      <c r="F44" s="9">
        <f>E47</f>
        <v>4180324.6715769246</v>
      </c>
      <c r="G44" s="9">
        <f>F47</f>
        <v>5523766.2287692335</v>
      </c>
      <c r="H44" s="9">
        <f>G47</f>
        <v>6867207.7859615423</v>
      </c>
      <c r="I44" s="9">
        <f>H47</f>
        <v>8210649.3431538511</v>
      </c>
      <c r="J44" s="9">
        <f>I47</f>
        <v>9554090.9003461599</v>
      </c>
      <c r="K44" s="9">
        <f>J47</f>
        <v>10897532.457538469</v>
      </c>
      <c r="L44" s="9">
        <f>K47</f>
        <v>12240974.014730778</v>
      </c>
      <c r="M44" s="9">
        <f>L47</f>
        <v>13584415.571923086</v>
      </c>
      <c r="N44" s="9">
        <f>M47</f>
        <v>14927857.129115395</v>
      </c>
      <c r="O44" s="9">
        <f>N47</f>
        <v>16271298.686307704</v>
      </c>
      <c r="P44" s="9">
        <f>O47</f>
        <v>17614740.243500013</v>
      </c>
      <c r="Q44" s="9">
        <f>P47</f>
        <v>18958181.80069232</v>
      </c>
      <c r="R44" s="9">
        <f>Q47</f>
        <v>20301623.357884627</v>
      </c>
      <c r="S44" s="9">
        <f>R47</f>
        <v>21645064.915076934</v>
      </c>
      <c r="T44" s="9">
        <f>S47</f>
        <v>22988506.472269241</v>
      </c>
      <c r="U44" s="9">
        <f>T47</f>
        <v>24331948.029461548</v>
      </c>
      <c r="V44" s="9">
        <f>U47</f>
        <v>25675389.586653855</v>
      </c>
      <c r="W44" s="9">
        <f>V47</f>
        <v>27018831.143846162</v>
      </c>
      <c r="X44" s="9">
        <f>W47</f>
        <v>28362272.701038469</v>
      </c>
      <c r="Y44" s="9">
        <f>X47</f>
        <v>29705714.258230776</v>
      </c>
      <c r="Z44" s="9">
        <f>Y47</f>
        <v>31049155.815423083</v>
      </c>
      <c r="AA44" s="9">
        <f>Z47</f>
        <v>32392597.37261539</v>
      </c>
      <c r="AB44" s="9">
        <f>AA47</f>
        <v>33736038.9298077</v>
      </c>
      <c r="AC44" s="1"/>
      <c r="AD44" s="1"/>
    </row>
    <row r="45" spans="1:30">
      <c r="A45" s="5">
        <f>A44+1</f>
        <v>32</v>
      </c>
      <c r="B45" s="4" t="s">
        <v>4</v>
      </c>
      <c r="C45" s="2">
        <v>1418441.5571923084</v>
      </c>
      <c r="D45" s="2">
        <v>1418441.5571923084</v>
      </c>
      <c r="E45" s="2">
        <v>1418441.5571923084</v>
      </c>
      <c r="F45" s="2">
        <v>1418441.5571923084</v>
      </c>
      <c r="G45" s="2">
        <v>1418441.5571923084</v>
      </c>
      <c r="H45" s="2">
        <v>1418441.5571923084</v>
      </c>
      <c r="I45" s="2">
        <v>1418441.5571923084</v>
      </c>
      <c r="J45" s="2">
        <v>1418441.5571923084</v>
      </c>
      <c r="K45" s="2">
        <v>1418441.5571923084</v>
      </c>
      <c r="L45" s="2">
        <v>1418441.5571923084</v>
      </c>
      <c r="M45" s="2">
        <v>1418441.5571923084</v>
      </c>
      <c r="N45" s="2">
        <v>1418441.5571923084</v>
      </c>
      <c r="O45" s="2">
        <v>1418441.5571923084</v>
      </c>
      <c r="P45" s="2">
        <v>1418441.5571923084</v>
      </c>
      <c r="Q45" s="2">
        <v>1418441.5571923084</v>
      </c>
      <c r="R45" s="2">
        <v>1418441.5571923084</v>
      </c>
      <c r="S45" s="2">
        <v>1418441.5571923084</v>
      </c>
      <c r="T45" s="2">
        <v>1418441.5571923084</v>
      </c>
      <c r="U45" s="2">
        <v>1418441.5571923084</v>
      </c>
      <c r="V45" s="2">
        <v>1418441.5571923084</v>
      </c>
      <c r="W45" s="2">
        <v>1418441.5571923084</v>
      </c>
      <c r="X45" s="2">
        <v>1418441.5571923084</v>
      </c>
      <c r="Y45" s="2">
        <v>1418441.5571923084</v>
      </c>
      <c r="Z45" s="2">
        <v>1418441.5571923084</v>
      </c>
      <c r="AA45" s="2">
        <v>1418441.5571923084</v>
      </c>
      <c r="AB45" s="2">
        <v>1418441.5571923084</v>
      </c>
      <c r="AC45" s="2">
        <f>SUM(C45:AB45)</f>
        <v>36879480.487000011</v>
      </c>
      <c r="AD45" s="1"/>
    </row>
    <row r="46" spans="1:30">
      <c r="A46" s="5">
        <f>A45+1</f>
        <v>33</v>
      </c>
      <c r="B46" s="4" t="s">
        <v>3</v>
      </c>
      <c r="C46" s="9">
        <f>SUM(C10:C10)*-1</f>
        <v>-75000</v>
      </c>
      <c r="D46" s="9">
        <f>SUM(D10:D10)*-1</f>
        <v>-75000</v>
      </c>
      <c r="E46" s="9">
        <f>SUM(E10:E10)*-1</f>
        <v>-75000</v>
      </c>
      <c r="F46" s="9">
        <f>SUM(F10:F10)*-1</f>
        <v>-75000</v>
      </c>
      <c r="G46" s="9">
        <f>SUM(G10:G10)*-1</f>
        <v>-75000</v>
      </c>
      <c r="H46" s="9">
        <f>SUM(H10:H10)*-1</f>
        <v>-75000</v>
      </c>
      <c r="I46" s="9">
        <f>SUM(I10:I10)*-1</f>
        <v>-75000</v>
      </c>
      <c r="J46" s="9">
        <f>SUM(J10:J10)*-1</f>
        <v>-75000</v>
      </c>
      <c r="K46" s="9">
        <f>SUM(K10:K10)*-1</f>
        <v>-75000</v>
      </c>
      <c r="L46" s="9">
        <f>SUM(L10:L10)*-1</f>
        <v>-75000</v>
      </c>
      <c r="M46" s="9">
        <f>SUM(M10:M10)*-1</f>
        <v>-75000</v>
      </c>
      <c r="N46" s="9">
        <f>SUM(N10:N10)*-1</f>
        <v>-75000</v>
      </c>
      <c r="O46" s="9">
        <f>SUM(O10:O10)*-1</f>
        <v>-75000</v>
      </c>
      <c r="P46" s="9">
        <f>SUM(P10:P10)*-1</f>
        <v>-75000</v>
      </c>
      <c r="Q46" s="9">
        <f>SUM(Q10:Q10)*-1</f>
        <v>-75000</v>
      </c>
      <c r="R46" s="9">
        <f>SUM(R10:R10)*-1</f>
        <v>-75000</v>
      </c>
      <c r="S46" s="9">
        <f>SUM(S10:S10)*-1</f>
        <v>-75000</v>
      </c>
      <c r="T46" s="9">
        <f>SUM(T10:T10)*-1</f>
        <v>-75000</v>
      </c>
      <c r="U46" s="9">
        <f>SUM(U10:U10)*-1</f>
        <v>-75000</v>
      </c>
      <c r="V46" s="9">
        <f>SUM(V10:V10)*-1</f>
        <v>-75000</v>
      </c>
      <c r="W46" s="9">
        <f>SUM(W10:W10)*-1</f>
        <v>-75000</v>
      </c>
      <c r="X46" s="9">
        <f>SUM(X10:X10)*-1</f>
        <v>-75000</v>
      </c>
      <c r="Y46" s="9">
        <f>SUM(Y10:Y10)*-1</f>
        <v>-75000</v>
      </c>
      <c r="Z46" s="9">
        <f>SUM(Z10:Z10)*-1</f>
        <v>-75000</v>
      </c>
      <c r="AA46" s="9">
        <f>SUM(AA10:AA10)*-1</f>
        <v>-75000</v>
      </c>
      <c r="AB46" s="9">
        <f>SUM(AB10:AB10)*-1</f>
        <v>-75000</v>
      </c>
      <c r="AC46" s="2">
        <f>SUM(C46:AB46)</f>
        <v>-1950000</v>
      </c>
      <c r="AD46" s="1"/>
    </row>
    <row r="47" spans="1:30">
      <c r="A47" s="5">
        <f>A46+1</f>
        <v>34</v>
      </c>
      <c r="B47" s="4" t="s">
        <v>2</v>
      </c>
      <c r="C47" s="7">
        <f>SUM(C44:C46)</f>
        <v>1493441.5571923084</v>
      </c>
      <c r="D47" s="8">
        <f>SUM(D44:D46)</f>
        <v>2836883.1143846167</v>
      </c>
      <c r="E47" s="7">
        <f>SUM(E44:E46)</f>
        <v>4180324.6715769246</v>
      </c>
      <c r="F47" s="7">
        <f>SUM(F44:F46)</f>
        <v>5523766.2287692335</v>
      </c>
      <c r="G47" s="7">
        <f>SUM(G44:G46)</f>
        <v>6867207.7859615423</v>
      </c>
      <c r="H47" s="7">
        <f>SUM(H44:H46)</f>
        <v>8210649.3431538511</v>
      </c>
      <c r="I47" s="7">
        <f>SUM(I44:I46)</f>
        <v>9554090.9003461599</v>
      </c>
      <c r="J47" s="7">
        <f>SUM(J44:J46)</f>
        <v>10897532.457538469</v>
      </c>
      <c r="K47" s="7">
        <f>SUM(K44:K46)</f>
        <v>12240974.014730778</v>
      </c>
      <c r="L47" s="7">
        <f>SUM(L44:L46)</f>
        <v>13584415.571923086</v>
      </c>
      <c r="M47" s="7">
        <f>SUM(M44:M46)</f>
        <v>14927857.129115395</v>
      </c>
      <c r="N47" s="7">
        <f>SUM(N44:N46)</f>
        <v>16271298.686307704</v>
      </c>
      <c r="O47" s="7">
        <f>SUM(O44:O46)</f>
        <v>17614740.243500013</v>
      </c>
      <c r="P47" s="7">
        <f>SUM(P44:P46)</f>
        <v>18958181.80069232</v>
      </c>
      <c r="Q47" s="7">
        <f>SUM(Q44:Q46)</f>
        <v>20301623.357884627</v>
      </c>
      <c r="R47" s="7">
        <f>SUM(R44:R46)</f>
        <v>21645064.915076934</v>
      </c>
      <c r="S47" s="7">
        <f>SUM(S44:S46)</f>
        <v>22988506.472269241</v>
      </c>
      <c r="T47" s="7">
        <f>SUM(T44:T46)</f>
        <v>24331948.029461548</v>
      </c>
      <c r="U47" s="7">
        <f>SUM(U44:U46)</f>
        <v>25675389.586653855</v>
      </c>
      <c r="V47" s="7">
        <f>SUM(V44:V46)</f>
        <v>27018831.143846162</v>
      </c>
      <c r="W47" s="7">
        <f>SUM(W44:W46)</f>
        <v>28362272.701038469</v>
      </c>
      <c r="X47" s="7">
        <f>SUM(X44:X46)</f>
        <v>29705714.258230776</v>
      </c>
      <c r="Y47" s="7">
        <f>SUM(Y44:Y46)</f>
        <v>31049155.815423083</v>
      </c>
      <c r="Z47" s="7">
        <f>SUM(Z44:Z46)</f>
        <v>32392597.37261539</v>
      </c>
      <c r="AA47" s="7">
        <f>SUM(AA44:AA46)</f>
        <v>33736038.9298077</v>
      </c>
      <c r="AB47" s="7">
        <f>SUM(AB44:AB46)</f>
        <v>35079480.487000011</v>
      </c>
      <c r="AC47" s="1"/>
      <c r="AD47" s="1"/>
    </row>
    <row r="48" spans="1:30">
      <c r="A48" s="5">
        <f>A47+1</f>
        <v>35</v>
      </c>
      <c r="B48" s="4" t="s">
        <v>1</v>
      </c>
      <c r="C48" s="6">
        <f>C47/(5141.03929857143*1000)*30</f>
        <v>8.7148228429646473</v>
      </c>
      <c r="D48" s="6">
        <f>D47/(5141.03929857143*1000)*30</f>
        <v>16.554336290560457</v>
      </c>
      <c r="E48" s="6">
        <f>E47/(5041.03929857143*1000)*30</f>
        <v>24.877754907177049</v>
      </c>
      <c r="F48" s="6">
        <f>F47/(5041.03929857143*1000)*30</f>
        <v>32.872782187998034</v>
      </c>
      <c r="G48" s="6">
        <f>G47/(5041.03929857143*1000)*30</f>
        <v>40.867809468819019</v>
      </c>
      <c r="H48" s="6">
        <f>H47/(5041.03929857143*1000)*30</f>
        <v>48.862836749640003</v>
      </c>
      <c r="I48" s="6">
        <f>I47/(5041.03929857143*1000)*30</f>
        <v>56.857864030460988</v>
      </c>
      <c r="J48" s="6">
        <f>J47/(5041.03929857143*1000)*30</f>
        <v>64.852891311281965</v>
      </c>
      <c r="K48" s="6">
        <f>K47/(5041.03929857143*1000)*30</f>
        <v>72.847918592102957</v>
      </c>
      <c r="L48" s="6">
        <f>L47/(5041.03929857143*1000)*30</f>
        <v>80.842945872923934</v>
      </c>
      <c r="M48" s="6">
        <f>M47/(5041.03929857143*1000)*30</f>
        <v>88.837973153744926</v>
      </c>
      <c r="N48" s="6">
        <f>N47/(5041.03929857143*1000)*30</f>
        <v>96.833000434565903</v>
      </c>
      <c r="O48" s="6">
        <f>O47/(5041.03929857143*1000)*30</f>
        <v>104.8280277153869</v>
      </c>
      <c r="P48" s="6">
        <f>P47/(5041.03929857143*1000)*30</f>
        <v>112.82305499620787</v>
      </c>
      <c r="Q48" s="6">
        <f>Q47/(5041.03929857143*1000)*30</f>
        <v>120.81808227702885</v>
      </c>
      <c r="R48" s="6">
        <f>R47/(5041.03929857143*1000)*30</f>
        <v>128.81310955784983</v>
      </c>
      <c r="S48" s="6">
        <f>S47/(5041.03929857143*1000)*30</f>
        <v>136.80813683867078</v>
      </c>
      <c r="T48" s="6">
        <f>T47/(5041.03929857143*1000)*30</f>
        <v>144.80316411949175</v>
      </c>
      <c r="U48" s="6">
        <f>U47/(5041.03929857143*1000)*30</f>
        <v>152.79819140031273</v>
      </c>
      <c r="V48" s="6">
        <f>V47/(5041.03929857143*1000)*30</f>
        <v>160.79321868113371</v>
      </c>
      <c r="W48" s="6">
        <f>W47/(5041.03929857143*1000)*30</f>
        <v>168.78824596195469</v>
      </c>
      <c r="X48" s="6">
        <f>X47/(5041.03929857143*1000)*30</f>
        <v>176.78327324277566</v>
      </c>
      <c r="Y48" s="6">
        <f>Y47/(5041.03929857143*1000)*30</f>
        <v>184.77830052359664</v>
      </c>
      <c r="Z48" s="6">
        <f>Z47/(5041.03929857143*1000)*30</f>
        <v>192.77332780441759</v>
      </c>
      <c r="AA48" s="6">
        <f>AA47/(5041.03929857143*1000)*30</f>
        <v>200.7683550852386</v>
      </c>
      <c r="AB48" s="6">
        <f>AB47/(5041.03929857143*1000)*30</f>
        <v>208.76338236605957</v>
      </c>
      <c r="AC48" s="1"/>
      <c r="AD48" s="1"/>
    </row>
    <row r="49" spans="1:30">
      <c r="B49" s="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1"/>
      <c r="AD49" s="1"/>
    </row>
    <row r="50" spans="1:30" s="1" customFormat="1">
      <c r="A50" s="5">
        <f>A48+1</f>
        <v>36</v>
      </c>
      <c r="B50" s="4" t="s">
        <v>0</v>
      </c>
      <c r="C50" s="2">
        <f>C47/v_PCR</f>
        <v>9956277.0479487237</v>
      </c>
      <c r="D50" s="2">
        <f>D47/v_PCR+2000000</f>
        <v>20912554.095897447</v>
      </c>
      <c r="E50" s="2">
        <f>E47/v_PCR+2000000</f>
        <v>29868831.143846165</v>
      </c>
      <c r="F50" s="2">
        <f>F47/v_PCR+2000000</f>
        <v>38825108.191794895</v>
      </c>
      <c r="G50" s="2">
        <f>G47/v_PCR</f>
        <v>45781385.23974362</v>
      </c>
      <c r="H50" s="2">
        <f>H47/v_PCR</f>
        <v>54737662.287692346</v>
      </c>
      <c r="I50" s="2">
        <f>I47/v_PCR</f>
        <v>63693939.335641071</v>
      </c>
      <c r="J50" s="2">
        <f>J47/v_PCR</f>
        <v>72650216.383589789</v>
      </c>
      <c r="K50" s="2">
        <f>K47/v_PCR</f>
        <v>81606493.431538522</v>
      </c>
      <c r="L50" s="2">
        <f>L47/v_PCR</f>
        <v>90562770.47948724</v>
      </c>
      <c r="M50" s="2">
        <f>M47/v_PCR</f>
        <v>99519047.527435973</v>
      </c>
      <c r="N50" s="2">
        <f>N47/v_PCR</f>
        <v>108475324.57538469</v>
      </c>
      <c r="O50" s="2">
        <f>O47/v_PCR</f>
        <v>117431601.62333342</v>
      </c>
      <c r="P50" s="2">
        <f>P47/v_PCR</f>
        <v>126387878.67128214</v>
      </c>
      <c r="Q50" s="2">
        <f>Q47/v_PCR</f>
        <v>135344155.71923086</v>
      </c>
      <c r="R50" s="2">
        <f>R47/v_PCR</f>
        <v>144300432.76717958</v>
      </c>
      <c r="S50" s="2">
        <f>S47/v_PCR</f>
        <v>153256709.81512827</v>
      </c>
      <c r="T50" s="2">
        <f>T47/v_PCR</f>
        <v>162212986.86307698</v>
      </c>
      <c r="U50" s="2">
        <f>U47/v_PCR</f>
        <v>171169263.9110257</v>
      </c>
      <c r="V50" s="2">
        <f>V47/v_PCR</f>
        <v>180125540.95897442</v>
      </c>
      <c r="W50" s="2">
        <f>W47/v_PCR</f>
        <v>189081818.00692314</v>
      </c>
      <c r="X50" s="2">
        <f>X47/v_PCR</f>
        <v>198038095.05487186</v>
      </c>
      <c r="Y50" s="2">
        <f>Y47/v_PCR</f>
        <v>206994372.10282055</v>
      </c>
      <c r="Z50" s="2">
        <f>Z47/v_PCR</f>
        <v>215950649.15076926</v>
      </c>
      <c r="AA50" s="2">
        <f>AA47/v_PCR</f>
        <v>224906926.19871801</v>
      </c>
      <c r="AB50" s="2">
        <f>AB47/v_PCR</f>
        <v>233863203.24666676</v>
      </c>
    </row>
    <row r="51" spans="1:30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spans="1:30">
      <c r="B52" s="1"/>
      <c r="C52" s="3"/>
      <c r="D52" s="2"/>
      <c r="E52" s="2"/>
      <c r="F52" s="2"/>
      <c r="G52" s="2"/>
      <c r="H52" s="2"/>
      <c r="I52" s="2"/>
      <c r="J52" s="2"/>
      <c r="K52" s="2"/>
      <c r="L52" s="2"/>
      <c r="M52" s="2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</sheetData>
  <pageMargins left="0.7" right="0.7" top="0.75" bottom="0.75" header="0.3" footer="0.3"/>
  <pageSetup scale="83" fitToWidth="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57173-D088-471C-AF42-DC785A9BBB79}">
  <dimension ref="B4"/>
  <sheetViews>
    <sheetView workbookViewId="0">
      <selection activeCell="H60" sqref="H60"/>
    </sheetView>
  </sheetViews>
  <sheetFormatPr defaultRowHeight="14.25"/>
  <sheetData>
    <row r="4" spans="2:2" ht="30.75">
      <c r="B4" s="33" t="s">
        <v>25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44C13-3E54-4BD6-B9E9-0B3102C89B40}">
  <dimension ref="B4"/>
  <sheetViews>
    <sheetView workbookViewId="0">
      <selection activeCell="H60" sqref="H60"/>
    </sheetView>
  </sheetViews>
  <sheetFormatPr defaultRowHeight="14.25"/>
  <sheetData>
    <row r="4" spans="2:2" ht="30.75">
      <c r="B4" s="33" t="s">
        <v>26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86527-3FDD-4702-A5BE-B968E49165C9}">
  <dimension ref="B3:F25"/>
  <sheetViews>
    <sheetView workbookViewId="0">
      <selection activeCell="N50" sqref="N50"/>
    </sheetView>
  </sheetViews>
  <sheetFormatPr defaultRowHeight="14.25"/>
  <cols>
    <col min="2" max="3" width="17" customWidth="1"/>
    <col min="4" max="4" width="32" bestFit="1" customWidth="1"/>
    <col min="5" max="5" width="15" bestFit="1" customWidth="1"/>
    <col min="6" max="6" width="11.59765625" bestFit="1" customWidth="1"/>
  </cols>
  <sheetData>
    <row r="3" spans="2:4">
      <c r="B3" t="s">
        <v>40</v>
      </c>
      <c r="C3" s="44">
        <v>45293</v>
      </c>
      <c r="D3" s="41">
        <f>v_Fore_Date</f>
        <v>45293</v>
      </c>
    </row>
    <row r="4" spans="2:4">
      <c r="C4" s="35"/>
      <c r="D4" s="43"/>
    </row>
    <row r="5" spans="2:4">
      <c r="B5" t="s">
        <v>39</v>
      </c>
      <c r="C5" s="42">
        <f>v_Fore_Date-2</f>
        <v>45291</v>
      </c>
      <c r="D5" s="41">
        <f>v_Fore_Start</f>
        <v>45291</v>
      </c>
    </row>
    <row r="6" spans="2:4">
      <c r="C6" s="35"/>
    </row>
    <row r="7" spans="2:4">
      <c r="B7" t="s">
        <v>38</v>
      </c>
      <c r="C7" s="34">
        <v>10000000</v>
      </c>
      <c r="D7" t="s">
        <v>37</v>
      </c>
    </row>
    <row r="8" spans="2:4">
      <c r="C8" s="38"/>
    </row>
    <row r="9" spans="2:4">
      <c r="B9" t="s">
        <v>36</v>
      </c>
      <c r="C9" s="34">
        <v>750000</v>
      </c>
      <c r="D9" t="s">
        <v>35</v>
      </c>
    </row>
    <row r="10" spans="2:4">
      <c r="C10" s="38"/>
    </row>
    <row r="11" spans="2:4">
      <c r="B11" t="s">
        <v>34</v>
      </c>
      <c r="C11" s="34">
        <v>1000000</v>
      </c>
      <c r="D11" t="s">
        <v>33</v>
      </c>
    </row>
    <row r="12" spans="2:4">
      <c r="C12" s="38"/>
    </row>
    <row r="13" spans="2:4">
      <c r="B13" t="s">
        <v>32</v>
      </c>
      <c r="C13" s="40">
        <v>0.15</v>
      </c>
      <c r="D13" s="39" t="s">
        <v>31</v>
      </c>
    </row>
    <row r="14" spans="2:4">
      <c r="C14" s="38"/>
    </row>
    <row r="15" spans="2:4">
      <c r="B15" s="37">
        <f>v_Fore_Date</f>
        <v>45293</v>
      </c>
      <c r="C15" s="36">
        <f>Forecast!C34</f>
        <v>10575500</v>
      </c>
    </row>
    <row r="16" spans="2:4">
      <c r="B16" t="s">
        <v>30</v>
      </c>
      <c r="C16" s="36">
        <f>Forecast!C19</f>
        <v>75500</v>
      </c>
    </row>
    <row r="17" spans="2:6">
      <c r="B17" t="s">
        <v>27</v>
      </c>
      <c r="C17" s="36">
        <f>Forecast!C30*-1</f>
        <v>-500000</v>
      </c>
    </row>
    <row r="18" spans="2:6">
      <c r="C18" s="35"/>
    </row>
    <row r="19" spans="2:6">
      <c r="C19" s="35"/>
    </row>
    <row r="20" spans="2:6">
      <c r="B20" t="s">
        <v>29</v>
      </c>
      <c r="C20" s="34">
        <v>23618791.995582096</v>
      </c>
      <c r="D20" s="21">
        <f>v_Cash_Start-C20</f>
        <v>-13618791.995582096</v>
      </c>
    </row>
    <row r="21" spans="2:6">
      <c r="B21" t="s">
        <v>28</v>
      </c>
      <c r="C21" s="34">
        <v>1325252.6826269235</v>
      </c>
      <c r="D21" s="21" t="e">
        <f>SUM(#REF!)</f>
        <v>#REF!</v>
      </c>
      <c r="E21" s="21"/>
      <c r="F21" s="21"/>
    </row>
    <row r="22" spans="2:6">
      <c r="B22" t="s">
        <v>27</v>
      </c>
      <c r="C22" s="34">
        <v>1596864.0070448262</v>
      </c>
      <c r="D22" s="21" t="e">
        <f>SUM(#REF!)</f>
        <v>#REF!</v>
      </c>
      <c r="E22" s="21"/>
    </row>
    <row r="24" spans="2:6">
      <c r="D24" s="21"/>
      <c r="E24" s="21"/>
    </row>
    <row r="25" spans="2:6">
      <c r="E25" s="2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Forecast</vt:lpstr>
      <vt:lpstr>AP</vt:lpstr>
      <vt:lpstr>AR</vt:lpstr>
      <vt:lpstr>Control</vt:lpstr>
      <vt:lpstr>Forecast!Print_Area</vt:lpstr>
      <vt:lpstr>Forecast!Print_Titles</vt:lpstr>
      <vt:lpstr>v_AP_Total</vt:lpstr>
      <vt:lpstr>v_AR_Total</vt:lpstr>
      <vt:lpstr>v_Cash_Start</vt:lpstr>
      <vt:lpstr>v_Fore_Date</vt:lpstr>
      <vt:lpstr>v_Fore_Start</vt:lpstr>
      <vt:lpstr>v_PCR</vt:lpstr>
    </vt:vector>
  </TitlesOfParts>
  <Company>Newbrier</Company>
  <LinksUpToDate>false</LinksUpToDate>
  <SharedDoc>false</SharedDoc>
  <HyperlinkBase>https://www.newbrier.com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Weekly Cash Forecast</dc:title>
  <dc:subject>Hospital Cash Forecasting</dc:subject>
  <dc:creator>Gregory Brickner</dc:creator>
  <cp:keywords>Rural Hospital</cp:keywords>
  <cp:lastModifiedBy>Gregory Brickner</cp:lastModifiedBy>
  <dcterms:created xsi:type="dcterms:W3CDTF">2023-10-28T19:34:18Z</dcterms:created>
  <dcterms:modified xsi:type="dcterms:W3CDTF">2023-10-28T19:36:38Z</dcterms:modified>
  <cp:category>Forecast</cp:category>
</cp:coreProperties>
</file>